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onos.sharepoint.com/sites/BAGEMS-ZertifizierungnachBDEW/Shared Documents/Organisation/Überarbeitung TAB-MS/"/>
    </mc:Choice>
  </mc:AlternateContent>
  <xr:revisionPtr revIDLastSave="19" documentId="8_{BA440225-9217-4F97-A42B-A9EBFE0AD8D1}" xr6:coauthVersionLast="47" xr6:coauthVersionMax="47" xr10:uidLastSave="{BC23FD47-8123-478B-8600-6077CB73162A}"/>
  <bookViews>
    <workbookView xWindow="-118" yWindow="-118" windowWidth="25370" windowHeight="13667" xr2:uid="{00000000-000D-0000-FFFF-FFFF00000000}"/>
  </bookViews>
  <sheets>
    <sheet name="Protokoll" sheetId="9" r:id="rId1"/>
    <sheet name="Diagram" sheetId="11" state="hidden" r:id="rId2"/>
    <sheet name="Wertetabelle" sheetId="12" state="hidden" r:id="rId3"/>
    <sheet name="DropDown" sheetId="10" state="hidden" r:id="rId4"/>
  </sheets>
  <definedNames>
    <definedName name="_xlnm.Print_Area" localSheetId="0">Protokoll!$A$1:$AZ$72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9" l="1"/>
  <c r="B27" i="9"/>
  <c r="B29" i="9"/>
  <c r="B28" i="9"/>
  <c r="G84" i="12"/>
  <c r="G109" i="12"/>
  <c r="G228" i="12"/>
  <c r="G253" i="12"/>
  <c r="F5" i="12"/>
  <c r="G5" i="12" s="1"/>
  <c r="F6" i="12"/>
  <c r="G6" i="12" s="1"/>
  <c r="F7" i="12"/>
  <c r="G7" i="12" s="1"/>
  <c r="F8" i="12"/>
  <c r="G8" i="12" s="1"/>
  <c r="F9" i="12"/>
  <c r="G9" i="12" s="1"/>
  <c r="F10" i="12"/>
  <c r="G10" i="12" s="1"/>
  <c r="F11" i="12"/>
  <c r="G11" i="12" s="1"/>
  <c r="F12" i="12"/>
  <c r="G12" i="12" s="1"/>
  <c r="F13" i="12"/>
  <c r="G13" i="12" s="1"/>
  <c r="F14" i="12"/>
  <c r="G14" i="12" s="1"/>
  <c r="F15" i="12"/>
  <c r="G15" i="12" s="1"/>
  <c r="F16" i="12"/>
  <c r="G16" i="12" s="1"/>
  <c r="F17" i="12"/>
  <c r="G17" i="12" s="1"/>
  <c r="F18" i="12"/>
  <c r="G18" i="12" s="1"/>
  <c r="F19" i="12"/>
  <c r="G19" i="12" s="1"/>
  <c r="F20" i="12"/>
  <c r="G20" i="12" s="1"/>
  <c r="F21" i="12"/>
  <c r="G21" i="12" s="1"/>
  <c r="F22" i="12"/>
  <c r="G22" i="12" s="1"/>
  <c r="F23" i="12"/>
  <c r="G23" i="12" s="1"/>
  <c r="F24" i="12"/>
  <c r="G24" i="12" s="1"/>
  <c r="F25" i="12"/>
  <c r="G25" i="12" s="1"/>
  <c r="F26" i="12"/>
  <c r="G26" i="12" s="1"/>
  <c r="F27" i="12"/>
  <c r="G27" i="12" s="1"/>
  <c r="F28" i="12"/>
  <c r="G28" i="12" s="1"/>
  <c r="F29" i="12"/>
  <c r="G29" i="12" s="1"/>
  <c r="F30" i="12"/>
  <c r="G30" i="12" s="1"/>
  <c r="F31" i="12"/>
  <c r="G31" i="12" s="1"/>
  <c r="F32" i="12"/>
  <c r="G32" i="12" s="1"/>
  <c r="F33" i="12"/>
  <c r="G33" i="12" s="1"/>
  <c r="F34" i="12"/>
  <c r="G34" i="12" s="1"/>
  <c r="F35" i="12"/>
  <c r="G35" i="12" s="1"/>
  <c r="F36" i="12"/>
  <c r="G36" i="12" s="1"/>
  <c r="F37" i="12"/>
  <c r="G37" i="12" s="1"/>
  <c r="F38" i="12"/>
  <c r="G38" i="12" s="1"/>
  <c r="F39" i="12"/>
  <c r="G39" i="12" s="1"/>
  <c r="F40" i="12"/>
  <c r="G40" i="12" s="1"/>
  <c r="F41" i="12"/>
  <c r="G41" i="12" s="1"/>
  <c r="F42" i="12"/>
  <c r="G42" i="12" s="1"/>
  <c r="F43" i="12"/>
  <c r="G43" i="12" s="1"/>
  <c r="F44" i="12"/>
  <c r="G44" i="12" s="1"/>
  <c r="F45" i="12"/>
  <c r="G45" i="12" s="1"/>
  <c r="F46" i="12"/>
  <c r="G46" i="12" s="1"/>
  <c r="F47" i="12"/>
  <c r="G47" i="12" s="1"/>
  <c r="F48" i="12"/>
  <c r="G48" i="12" s="1"/>
  <c r="F49" i="12"/>
  <c r="G49" i="12" s="1"/>
  <c r="F50" i="12"/>
  <c r="G50" i="12" s="1"/>
  <c r="F51" i="12"/>
  <c r="G51" i="12" s="1"/>
  <c r="F52" i="12"/>
  <c r="G52" i="12" s="1"/>
  <c r="F53" i="12"/>
  <c r="G53" i="12" s="1"/>
  <c r="F54" i="12"/>
  <c r="G54" i="12" s="1"/>
  <c r="F55" i="12"/>
  <c r="G55" i="12" s="1"/>
  <c r="F56" i="12"/>
  <c r="G56" i="12" s="1"/>
  <c r="F57" i="12"/>
  <c r="G57" i="12" s="1"/>
  <c r="F58" i="12"/>
  <c r="G58" i="12" s="1"/>
  <c r="F59" i="12"/>
  <c r="G59" i="12" s="1"/>
  <c r="F60" i="12"/>
  <c r="G60" i="12" s="1"/>
  <c r="F61" i="12"/>
  <c r="G61" i="12" s="1"/>
  <c r="F62" i="12"/>
  <c r="G62" i="12" s="1"/>
  <c r="F63" i="12"/>
  <c r="G63" i="12" s="1"/>
  <c r="F64" i="12"/>
  <c r="G64" i="12" s="1"/>
  <c r="F65" i="12"/>
  <c r="G65" i="12" s="1"/>
  <c r="F66" i="12"/>
  <c r="G66" i="12" s="1"/>
  <c r="F67" i="12"/>
  <c r="G67" i="12" s="1"/>
  <c r="F68" i="12"/>
  <c r="G68" i="12" s="1"/>
  <c r="F69" i="12"/>
  <c r="G69" i="12" s="1"/>
  <c r="F70" i="12"/>
  <c r="G70" i="12" s="1"/>
  <c r="F71" i="12"/>
  <c r="G71" i="12" s="1"/>
  <c r="F72" i="12"/>
  <c r="G72" i="12" s="1"/>
  <c r="F73" i="12"/>
  <c r="G73" i="12" s="1"/>
  <c r="F74" i="12"/>
  <c r="G74" i="12" s="1"/>
  <c r="F75" i="12"/>
  <c r="G75" i="12" s="1"/>
  <c r="F76" i="12"/>
  <c r="G76" i="12" s="1"/>
  <c r="F77" i="12"/>
  <c r="G77" i="12" s="1"/>
  <c r="F78" i="12"/>
  <c r="G78" i="12" s="1"/>
  <c r="F79" i="12"/>
  <c r="G79" i="12" s="1"/>
  <c r="F80" i="12"/>
  <c r="G80" i="12" s="1"/>
  <c r="F81" i="12"/>
  <c r="G81" i="12" s="1"/>
  <c r="F82" i="12"/>
  <c r="G82" i="12" s="1"/>
  <c r="F83" i="12"/>
  <c r="G83" i="12" s="1"/>
  <c r="F84" i="12"/>
  <c r="F85" i="12"/>
  <c r="G85" i="12" s="1"/>
  <c r="F86" i="12"/>
  <c r="G86" i="12" s="1"/>
  <c r="F87" i="12"/>
  <c r="G87" i="12" s="1"/>
  <c r="F88" i="12"/>
  <c r="G88" i="12" s="1"/>
  <c r="F89" i="12"/>
  <c r="G89" i="12" s="1"/>
  <c r="F90" i="12"/>
  <c r="G90" i="12" s="1"/>
  <c r="F91" i="12"/>
  <c r="G91" i="12" s="1"/>
  <c r="F92" i="12"/>
  <c r="G92" i="12" s="1"/>
  <c r="F93" i="12"/>
  <c r="G93" i="12" s="1"/>
  <c r="F94" i="12"/>
  <c r="G94" i="12" s="1"/>
  <c r="F95" i="12"/>
  <c r="G95" i="12" s="1"/>
  <c r="F96" i="12"/>
  <c r="G96" i="12" s="1"/>
  <c r="F97" i="12"/>
  <c r="G97" i="12" s="1"/>
  <c r="F98" i="12"/>
  <c r="G98" i="12" s="1"/>
  <c r="F99" i="12"/>
  <c r="G99" i="12" s="1"/>
  <c r="F100" i="12"/>
  <c r="G100" i="12" s="1"/>
  <c r="F101" i="12"/>
  <c r="G101" i="12" s="1"/>
  <c r="F102" i="12"/>
  <c r="G102" i="12" s="1"/>
  <c r="F103" i="12"/>
  <c r="G103" i="12" s="1"/>
  <c r="F104" i="12"/>
  <c r="G104" i="12" s="1"/>
  <c r="F105" i="12"/>
  <c r="G105" i="12" s="1"/>
  <c r="F106" i="12"/>
  <c r="G106" i="12" s="1"/>
  <c r="F107" i="12"/>
  <c r="G107" i="12" s="1"/>
  <c r="F108" i="12"/>
  <c r="G108" i="12" s="1"/>
  <c r="F109" i="12"/>
  <c r="F110" i="12"/>
  <c r="G110" i="12" s="1"/>
  <c r="F111" i="12"/>
  <c r="G111" i="12" s="1"/>
  <c r="F112" i="12"/>
  <c r="G112" i="12" s="1"/>
  <c r="F113" i="12"/>
  <c r="G113" i="12" s="1"/>
  <c r="F114" i="12"/>
  <c r="G114" i="12" s="1"/>
  <c r="F115" i="12"/>
  <c r="G115" i="12" s="1"/>
  <c r="F116" i="12"/>
  <c r="G116" i="12" s="1"/>
  <c r="F117" i="12"/>
  <c r="G117" i="12" s="1"/>
  <c r="F118" i="12"/>
  <c r="G118" i="12" s="1"/>
  <c r="F119" i="12"/>
  <c r="G119" i="12" s="1"/>
  <c r="F120" i="12"/>
  <c r="G120" i="12" s="1"/>
  <c r="F121" i="12"/>
  <c r="G121" i="12" s="1"/>
  <c r="F122" i="12"/>
  <c r="G122" i="12" s="1"/>
  <c r="F123" i="12"/>
  <c r="G123" i="12" s="1"/>
  <c r="F124" i="12"/>
  <c r="G124" i="12" s="1"/>
  <c r="F125" i="12"/>
  <c r="G125" i="12" s="1"/>
  <c r="F126" i="12"/>
  <c r="G126" i="12" s="1"/>
  <c r="F127" i="12"/>
  <c r="G127" i="12" s="1"/>
  <c r="F128" i="12"/>
  <c r="G128" i="12" s="1"/>
  <c r="F129" i="12"/>
  <c r="G129" i="12" s="1"/>
  <c r="F130" i="12"/>
  <c r="G130" i="12" s="1"/>
  <c r="F131" i="12"/>
  <c r="G131" i="12" s="1"/>
  <c r="F132" i="12"/>
  <c r="G132" i="12" s="1"/>
  <c r="F133" i="12"/>
  <c r="G133" i="12" s="1"/>
  <c r="F134" i="12"/>
  <c r="G134" i="12" s="1"/>
  <c r="F135" i="12"/>
  <c r="G135" i="12" s="1"/>
  <c r="F136" i="12"/>
  <c r="G136" i="12" s="1"/>
  <c r="F137" i="12"/>
  <c r="G137" i="12" s="1"/>
  <c r="F138" i="12"/>
  <c r="G138" i="12" s="1"/>
  <c r="F139" i="12"/>
  <c r="G139" i="12" s="1"/>
  <c r="F140" i="12"/>
  <c r="G140" i="12" s="1"/>
  <c r="F141" i="12"/>
  <c r="G141" i="12" s="1"/>
  <c r="F142" i="12"/>
  <c r="G142" i="12" s="1"/>
  <c r="F143" i="12"/>
  <c r="G143" i="12" s="1"/>
  <c r="F144" i="12"/>
  <c r="G144" i="12" s="1"/>
  <c r="F145" i="12"/>
  <c r="G145" i="12" s="1"/>
  <c r="F146" i="12"/>
  <c r="G146" i="12" s="1"/>
  <c r="F147" i="12"/>
  <c r="G147" i="12" s="1"/>
  <c r="F148" i="12"/>
  <c r="G148" i="12" s="1"/>
  <c r="F149" i="12"/>
  <c r="G149" i="12" s="1"/>
  <c r="F150" i="12"/>
  <c r="G150" i="12" s="1"/>
  <c r="F151" i="12"/>
  <c r="G151" i="12" s="1"/>
  <c r="F152" i="12"/>
  <c r="G152" i="12" s="1"/>
  <c r="F153" i="12"/>
  <c r="G153" i="12" s="1"/>
  <c r="F154" i="12"/>
  <c r="G154" i="12" s="1"/>
  <c r="F155" i="12"/>
  <c r="G155" i="12" s="1"/>
  <c r="F156" i="12"/>
  <c r="G156" i="12" s="1"/>
  <c r="F157" i="12"/>
  <c r="G157" i="12" s="1"/>
  <c r="F158" i="12"/>
  <c r="G158" i="12" s="1"/>
  <c r="F159" i="12"/>
  <c r="G159" i="12" s="1"/>
  <c r="F160" i="12"/>
  <c r="G160" i="12" s="1"/>
  <c r="F161" i="12"/>
  <c r="G161" i="12" s="1"/>
  <c r="F162" i="12"/>
  <c r="G162" i="12" s="1"/>
  <c r="F163" i="12"/>
  <c r="G163" i="12" s="1"/>
  <c r="F164" i="12"/>
  <c r="G164" i="12" s="1"/>
  <c r="F165" i="12"/>
  <c r="G165" i="12" s="1"/>
  <c r="F166" i="12"/>
  <c r="G166" i="12" s="1"/>
  <c r="F167" i="12"/>
  <c r="G167" i="12" s="1"/>
  <c r="F168" i="12"/>
  <c r="G168" i="12" s="1"/>
  <c r="F169" i="12"/>
  <c r="G169" i="12" s="1"/>
  <c r="F170" i="12"/>
  <c r="G170" i="12" s="1"/>
  <c r="F171" i="12"/>
  <c r="G171" i="12" s="1"/>
  <c r="F172" i="12"/>
  <c r="G172" i="12" s="1"/>
  <c r="F173" i="12"/>
  <c r="G173" i="12" s="1"/>
  <c r="F174" i="12"/>
  <c r="G174" i="12" s="1"/>
  <c r="F175" i="12"/>
  <c r="G175" i="12" s="1"/>
  <c r="F176" i="12"/>
  <c r="G176" i="12" s="1"/>
  <c r="F177" i="12"/>
  <c r="G177" i="12" s="1"/>
  <c r="F178" i="12"/>
  <c r="G178" i="12" s="1"/>
  <c r="F179" i="12"/>
  <c r="G179" i="12" s="1"/>
  <c r="F180" i="12"/>
  <c r="G180" i="12" s="1"/>
  <c r="F181" i="12"/>
  <c r="G181" i="12" s="1"/>
  <c r="F182" i="12"/>
  <c r="G182" i="12" s="1"/>
  <c r="F183" i="12"/>
  <c r="G183" i="12" s="1"/>
  <c r="F184" i="12"/>
  <c r="G184" i="12" s="1"/>
  <c r="F185" i="12"/>
  <c r="G185" i="12" s="1"/>
  <c r="F186" i="12"/>
  <c r="G186" i="12" s="1"/>
  <c r="F187" i="12"/>
  <c r="G187" i="12" s="1"/>
  <c r="F188" i="12"/>
  <c r="G188" i="12" s="1"/>
  <c r="F189" i="12"/>
  <c r="G189" i="12" s="1"/>
  <c r="F190" i="12"/>
  <c r="G190" i="12" s="1"/>
  <c r="F191" i="12"/>
  <c r="G191" i="12" s="1"/>
  <c r="F192" i="12"/>
  <c r="G192" i="12" s="1"/>
  <c r="F193" i="12"/>
  <c r="G193" i="12" s="1"/>
  <c r="F194" i="12"/>
  <c r="G194" i="12" s="1"/>
  <c r="F195" i="12"/>
  <c r="G195" i="12" s="1"/>
  <c r="F196" i="12"/>
  <c r="G196" i="12" s="1"/>
  <c r="F197" i="12"/>
  <c r="G197" i="12" s="1"/>
  <c r="F198" i="12"/>
  <c r="G198" i="12" s="1"/>
  <c r="F199" i="12"/>
  <c r="G199" i="12" s="1"/>
  <c r="F200" i="12"/>
  <c r="G200" i="12" s="1"/>
  <c r="F201" i="12"/>
  <c r="G201" i="12" s="1"/>
  <c r="F202" i="12"/>
  <c r="G202" i="12" s="1"/>
  <c r="F203" i="12"/>
  <c r="G203" i="12" s="1"/>
  <c r="F204" i="12"/>
  <c r="G204" i="12" s="1"/>
  <c r="F205" i="12"/>
  <c r="G205" i="12" s="1"/>
  <c r="F206" i="12"/>
  <c r="G206" i="12" s="1"/>
  <c r="F207" i="12"/>
  <c r="G207" i="12" s="1"/>
  <c r="F208" i="12"/>
  <c r="G208" i="12" s="1"/>
  <c r="F209" i="12"/>
  <c r="G209" i="12" s="1"/>
  <c r="F210" i="12"/>
  <c r="G210" i="12" s="1"/>
  <c r="F211" i="12"/>
  <c r="G211" i="12" s="1"/>
  <c r="F212" i="12"/>
  <c r="G212" i="12" s="1"/>
  <c r="F213" i="12"/>
  <c r="G213" i="12" s="1"/>
  <c r="F214" i="12"/>
  <c r="G214" i="12" s="1"/>
  <c r="F215" i="12"/>
  <c r="G215" i="12" s="1"/>
  <c r="F216" i="12"/>
  <c r="G216" i="12" s="1"/>
  <c r="F217" i="12"/>
  <c r="G217" i="12" s="1"/>
  <c r="F218" i="12"/>
  <c r="G218" i="12" s="1"/>
  <c r="F219" i="12"/>
  <c r="G219" i="12" s="1"/>
  <c r="F220" i="12"/>
  <c r="G220" i="12" s="1"/>
  <c r="F221" i="12"/>
  <c r="G221" i="12" s="1"/>
  <c r="F222" i="12"/>
  <c r="G222" i="12" s="1"/>
  <c r="F223" i="12"/>
  <c r="G223" i="12" s="1"/>
  <c r="F224" i="12"/>
  <c r="G224" i="12" s="1"/>
  <c r="F225" i="12"/>
  <c r="G225" i="12" s="1"/>
  <c r="F226" i="12"/>
  <c r="G226" i="12" s="1"/>
  <c r="F227" i="12"/>
  <c r="G227" i="12" s="1"/>
  <c r="F228" i="12"/>
  <c r="F229" i="12"/>
  <c r="G229" i="12" s="1"/>
  <c r="F230" i="12"/>
  <c r="G230" i="12" s="1"/>
  <c r="F231" i="12"/>
  <c r="G231" i="12" s="1"/>
  <c r="F232" i="12"/>
  <c r="G232" i="12" s="1"/>
  <c r="F233" i="12"/>
  <c r="G233" i="12" s="1"/>
  <c r="F234" i="12"/>
  <c r="G234" i="12" s="1"/>
  <c r="F235" i="12"/>
  <c r="G235" i="12" s="1"/>
  <c r="F236" i="12"/>
  <c r="G236" i="12" s="1"/>
  <c r="F237" i="12"/>
  <c r="G237" i="12" s="1"/>
  <c r="F238" i="12"/>
  <c r="G238" i="12" s="1"/>
  <c r="F239" i="12"/>
  <c r="G239" i="12" s="1"/>
  <c r="F240" i="12"/>
  <c r="G240" i="12" s="1"/>
  <c r="F241" i="12"/>
  <c r="G241" i="12" s="1"/>
  <c r="F242" i="12"/>
  <c r="G242" i="12" s="1"/>
  <c r="F243" i="12"/>
  <c r="G243" i="12" s="1"/>
  <c r="F244" i="12"/>
  <c r="G244" i="12" s="1"/>
  <c r="F245" i="12"/>
  <c r="G245" i="12" s="1"/>
  <c r="F246" i="12"/>
  <c r="G246" i="12" s="1"/>
  <c r="F247" i="12"/>
  <c r="G247" i="12" s="1"/>
  <c r="F248" i="12"/>
  <c r="G248" i="12" s="1"/>
  <c r="F249" i="12"/>
  <c r="G249" i="12" s="1"/>
  <c r="F250" i="12"/>
  <c r="G250" i="12" s="1"/>
  <c r="F251" i="12"/>
  <c r="G251" i="12" s="1"/>
  <c r="F252" i="12"/>
  <c r="G252" i="12" s="1"/>
  <c r="F253" i="12"/>
  <c r="F254" i="12"/>
  <c r="G254" i="12" s="1"/>
  <c r="F255" i="12"/>
  <c r="G255" i="12" s="1"/>
  <c r="F256" i="12"/>
  <c r="G256" i="12" s="1"/>
  <c r="F257" i="12"/>
  <c r="G257" i="12" s="1"/>
  <c r="F258" i="12"/>
  <c r="G258" i="12" s="1"/>
  <c r="F259" i="12"/>
  <c r="G259" i="12" s="1"/>
  <c r="F260" i="12"/>
  <c r="G260" i="12" s="1"/>
  <c r="F261" i="12"/>
  <c r="G261" i="12" s="1"/>
  <c r="F262" i="12"/>
  <c r="G262" i="12" s="1"/>
  <c r="F263" i="12"/>
  <c r="G263" i="12" s="1"/>
  <c r="F264" i="12"/>
  <c r="G264" i="12" s="1"/>
  <c r="F265" i="12"/>
  <c r="G265" i="12" s="1"/>
  <c r="F266" i="12"/>
  <c r="G266" i="12" s="1"/>
  <c r="F267" i="12"/>
  <c r="G267" i="12" s="1"/>
  <c r="F268" i="12"/>
  <c r="G268" i="12" s="1"/>
  <c r="F269" i="12"/>
  <c r="G269" i="12" s="1"/>
  <c r="F3" i="12"/>
  <c r="G3" i="12" s="1"/>
  <c r="F4" i="12"/>
  <c r="G4" i="12" s="1"/>
  <c r="F2" i="12"/>
  <c r="G2" i="12" s="1"/>
  <c r="B5" i="12"/>
  <c r="B15" i="12" s="1"/>
  <c r="B9" i="11"/>
  <c r="J6" i="11" s="1"/>
  <c r="N6" i="11" s="1"/>
  <c r="E3" i="10"/>
  <c r="E2" i="10"/>
  <c r="J2" i="11" l="1"/>
  <c r="N2" i="11" s="1"/>
  <c r="AG18" i="9" l="1"/>
  <c r="B24" i="12" l="1"/>
  <c r="AC18" i="9" l="1"/>
  <c r="B30" i="12" l="1"/>
  <c r="B29" i="12"/>
  <c r="B28" i="12"/>
  <c r="B27" i="12"/>
  <c r="B20" i="12"/>
  <c r="B21" i="12"/>
  <c r="B23" i="12"/>
  <c r="B22" i="12"/>
  <c r="B6" i="11"/>
  <c r="B5" i="11" l="1"/>
  <c r="B4" i="11"/>
  <c r="AS27" i="9"/>
  <c r="AS29" i="9"/>
  <c r="AS31" i="9"/>
  <c r="AS30" i="9"/>
  <c r="AS28" i="9"/>
  <c r="AC16" i="9"/>
  <c r="B2" i="11"/>
  <c r="AG13" i="9"/>
  <c r="AG16" i="9"/>
  <c r="AG14" i="9"/>
  <c r="AS26" i="9" l="1"/>
  <c r="BC16" i="9" l="1"/>
  <c r="BC17" i="9"/>
  <c r="BD17" i="9"/>
  <c r="E14" i="9"/>
  <c r="E15" i="9"/>
  <c r="BD15" i="9" s="1"/>
  <c r="E17" i="9"/>
  <c r="U16" i="9"/>
  <c r="BC14" i="9" l="1"/>
  <c r="BD14" i="9"/>
  <c r="BC15" i="9"/>
  <c r="B7" i="11"/>
  <c r="B8" i="11"/>
  <c r="BI4" i="9" l="1"/>
  <c r="BB4" i="9" s="1"/>
  <c r="BD18" i="9"/>
  <c r="BD16" i="9"/>
  <c r="BC18" i="9"/>
  <c r="B3" i="11" l="1"/>
  <c r="U14" i="9"/>
  <c r="AC14" i="9" s="1"/>
  <c r="U15" i="9"/>
  <c r="AC15" i="9" s="1"/>
  <c r="Y15" i="9" l="1"/>
  <c r="Y14" i="9"/>
  <c r="B2" i="12" l="1"/>
  <c r="C14" i="12" l="1"/>
  <c r="C13" i="12"/>
  <c r="BG15" i="9" l="1"/>
  <c r="G4" i="11"/>
  <c r="K5" i="11" s="1"/>
  <c r="K6" i="11" s="1"/>
  <c r="G2" i="11"/>
  <c r="K3" i="11" s="1"/>
  <c r="K2" i="11" s="1"/>
  <c r="B12" i="12"/>
  <c r="B7" i="12"/>
  <c r="H3" i="12" s="1"/>
  <c r="I3" i="12" s="1"/>
  <c r="B6" i="12"/>
  <c r="B9" i="12" l="1"/>
  <c r="B10" i="12"/>
  <c r="H5" i="12"/>
  <c r="H149" i="12"/>
  <c r="H203" i="12"/>
  <c r="H138" i="12"/>
  <c r="H71" i="12"/>
  <c r="H127" i="12"/>
  <c r="I127" i="12" s="1"/>
  <c r="N127" i="12" s="1"/>
  <c r="H143" i="12"/>
  <c r="I143" i="12" s="1"/>
  <c r="N143" i="12" s="1"/>
  <c r="H104" i="12"/>
  <c r="H248" i="12"/>
  <c r="I248" i="12" s="1"/>
  <c r="N248" i="12" s="1"/>
  <c r="H117" i="12"/>
  <c r="I117" i="12" s="1"/>
  <c r="N117" i="12" s="1"/>
  <c r="H261" i="12"/>
  <c r="I261" i="12" s="1"/>
  <c r="N261" i="12" s="1"/>
  <c r="H130" i="12"/>
  <c r="I130" i="12" s="1"/>
  <c r="N130" i="12" s="1"/>
  <c r="H23" i="12"/>
  <c r="H132" i="12"/>
  <c r="H95" i="12"/>
  <c r="H133" i="12"/>
  <c r="H83" i="12"/>
  <c r="H134" i="12"/>
  <c r="H131" i="12"/>
  <c r="I131" i="12" s="1"/>
  <c r="N131" i="12" s="1"/>
  <c r="H123" i="12"/>
  <c r="H267" i="12"/>
  <c r="I267" i="12" s="1"/>
  <c r="N267" i="12" s="1"/>
  <c r="H136" i="12"/>
  <c r="I136" i="12" s="1"/>
  <c r="N136" i="12" s="1"/>
  <c r="H107" i="12"/>
  <c r="I107" i="12" s="1"/>
  <c r="N107" i="12" s="1"/>
  <c r="H211" i="12"/>
  <c r="I211" i="12" s="1"/>
  <c r="N211" i="12" s="1"/>
  <c r="H70" i="12"/>
  <c r="H74" i="12"/>
  <c r="H101" i="12"/>
  <c r="H84" i="12"/>
  <c r="H17" i="12"/>
  <c r="H161" i="12"/>
  <c r="I161" i="12" s="1"/>
  <c r="N161" i="12" s="1"/>
  <c r="H6" i="12"/>
  <c r="I6" i="12" s="1"/>
  <c r="N6" i="12" s="1"/>
  <c r="H150" i="12"/>
  <c r="H239" i="12"/>
  <c r="I239" i="12" s="1"/>
  <c r="H139" i="12"/>
  <c r="I139" i="12" s="1"/>
  <c r="N139" i="12" s="1"/>
  <c r="H167" i="12"/>
  <c r="I167" i="12" s="1"/>
  <c r="N167" i="12" s="1"/>
  <c r="H116" i="12"/>
  <c r="I116" i="12" s="1"/>
  <c r="N116" i="12" s="1"/>
  <c r="H260" i="12"/>
  <c r="H129" i="12"/>
  <c r="H35" i="12"/>
  <c r="H142" i="12"/>
  <c r="H11" i="12"/>
  <c r="H144" i="12"/>
  <c r="H215" i="12"/>
  <c r="I215" i="12" s="1"/>
  <c r="N215" i="12" s="1"/>
  <c r="H145" i="12"/>
  <c r="I145" i="12" s="1"/>
  <c r="N145" i="12" s="1"/>
  <c r="H227" i="12"/>
  <c r="I227" i="12" s="1"/>
  <c r="N227" i="12" s="1"/>
  <c r="H146" i="12"/>
  <c r="I146" i="12" s="1"/>
  <c r="N146" i="12" s="1"/>
  <c r="H155" i="12"/>
  <c r="I155" i="12" s="1"/>
  <c r="N155" i="12" s="1"/>
  <c r="H135" i="12"/>
  <c r="I135" i="12" s="1"/>
  <c r="N135" i="12" s="1"/>
  <c r="H119" i="12"/>
  <c r="H148" i="12"/>
  <c r="H179" i="12"/>
  <c r="H67" i="12"/>
  <c r="H188" i="12"/>
  <c r="H201" i="12"/>
  <c r="I201" i="12" s="1"/>
  <c r="N201" i="12" s="1"/>
  <c r="H216" i="12"/>
  <c r="I216" i="12" s="1"/>
  <c r="N216" i="12" s="1"/>
  <c r="H207" i="12"/>
  <c r="I207" i="12" s="1"/>
  <c r="N207" i="12" s="1"/>
  <c r="H245" i="12"/>
  <c r="I245" i="12" s="1"/>
  <c r="N245" i="12" s="1"/>
  <c r="H69" i="12"/>
  <c r="I69" i="12" s="1"/>
  <c r="N69" i="12" s="1"/>
  <c r="H229" i="12"/>
  <c r="I229" i="12" s="1"/>
  <c r="N229" i="12" s="1"/>
  <c r="H29" i="12"/>
  <c r="I29" i="12" s="1"/>
  <c r="N29" i="12" s="1"/>
  <c r="H173" i="12"/>
  <c r="H18" i="12"/>
  <c r="H162" i="12"/>
  <c r="H7" i="12"/>
  <c r="H151" i="12"/>
  <c r="H191" i="12"/>
  <c r="H128" i="12"/>
  <c r="I128" i="12" s="1"/>
  <c r="N128" i="12" s="1"/>
  <c r="H47" i="12"/>
  <c r="I47" i="12" s="1"/>
  <c r="N47" i="12" s="1"/>
  <c r="H141" i="12"/>
  <c r="I141" i="12" s="1"/>
  <c r="N141" i="12" s="1"/>
  <c r="H10" i="12"/>
  <c r="I10" i="12" s="1"/>
  <c r="N10" i="12" s="1"/>
  <c r="H154" i="12"/>
  <c r="I154" i="12" s="1"/>
  <c r="N154" i="12" s="1"/>
  <c r="H12" i="12"/>
  <c r="I12" i="12" s="1"/>
  <c r="N12" i="12" s="1"/>
  <c r="H156" i="12"/>
  <c r="H13" i="12"/>
  <c r="H157" i="12"/>
  <c r="H14" i="12"/>
  <c r="H158" i="12"/>
  <c r="H251" i="12"/>
  <c r="I251" i="12" s="1"/>
  <c r="N251" i="12" s="1"/>
  <c r="H147" i="12"/>
  <c r="I147" i="12" s="1"/>
  <c r="N147" i="12" s="1"/>
  <c r="H16" i="12"/>
  <c r="I16" i="12" s="1"/>
  <c r="N16" i="12" s="1"/>
  <c r="H160" i="12"/>
  <c r="I160" i="12" s="1"/>
  <c r="N160" i="12" s="1"/>
  <c r="H44" i="12"/>
  <c r="I44" i="12" s="1"/>
  <c r="N44" i="12" s="1"/>
  <c r="H214" i="12"/>
  <c r="I214" i="12" s="1"/>
  <c r="N214" i="12" s="1"/>
  <c r="H218" i="12"/>
  <c r="I218" i="12" s="1"/>
  <c r="N218" i="12" s="1"/>
  <c r="H90" i="12"/>
  <c r="H88" i="12"/>
  <c r="H41" i="12"/>
  <c r="H185" i="12"/>
  <c r="H30" i="12"/>
  <c r="I30" i="12" s="1"/>
  <c r="N30" i="12" s="1"/>
  <c r="H174" i="12"/>
  <c r="I174" i="12" s="1"/>
  <c r="N174" i="12" s="1"/>
  <c r="H19" i="12"/>
  <c r="I19" i="12" s="1"/>
  <c r="N19" i="12" s="1"/>
  <c r="H163" i="12"/>
  <c r="I163" i="12" s="1"/>
  <c r="N163" i="12" s="1"/>
  <c r="H263" i="12"/>
  <c r="I263" i="12" s="1"/>
  <c r="N263" i="12" s="1"/>
  <c r="H140" i="12"/>
  <c r="I140" i="12" s="1"/>
  <c r="N140" i="12" s="1"/>
  <c r="H9" i="12"/>
  <c r="I9" i="12" s="1"/>
  <c r="N9" i="12" s="1"/>
  <c r="H153" i="12"/>
  <c r="I153" i="12" s="1"/>
  <c r="H22" i="12"/>
  <c r="H166" i="12"/>
  <c r="H24" i="12"/>
  <c r="H168" i="12"/>
  <c r="H25" i="12"/>
  <c r="H169" i="12"/>
  <c r="I169" i="12" s="1"/>
  <c r="N169" i="12" s="1"/>
  <c r="H26" i="12"/>
  <c r="I26" i="12" s="1"/>
  <c r="N26" i="12" s="1"/>
  <c r="H170" i="12"/>
  <c r="I170" i="12" s="1"/>
  <c r="N170" i="12" s="1"/>
  <c r="H15" i="12"/>
  <c r="I15" i="12" s="1"/>
  <c r="N15" i="12" s="1"/>
  <c r="H159" i="12"/>
  <c r="I159" i="12" s="1"/>
  <c r="N159" i="12" s="1"/>
  <c r="H28" i="12"/>
  <c r="I28" i="12" s="1"/>
  <c r="N28" i="12" s="1"/>
  <c r="H172" i="12"/>
  <c r="I172" i="12" s="1"/>
  <c r="N172" i="12" s="1"/>
  <c r="H222" i="12"/>
  <c r="H57" i="12"/>
  <c r="H73" i="12"/>
  <c r="H220" i="12"/>
  <c r="H234" i="12"/>
  <c r="H213" i="12"/>
  <c r="I213" i="12" s="1"/>
  <c r="N213" i="12" s="1"/>
  <c r="H86" i="12"/>
  <c r="I86" i="12" s="1"/>
  <c r="N86" i="12" s="1"/>
  <c r="H53" i="12"/>
  <c r="I53" i="12" s="1"/>
  <c r="N53" i="12" s="1"/>
  <c r="H197" i="12"/>
  <c r="I197" i="12" s="1"/>
  <c r="N197" i="12" s="1"/>
  <c r="H42" i="12"/>
  <c r="I42" i="12" s="1"/>
  <c r="N42" i="12" s="1"/>
  <c r="H186" i="12"/>
  <c r="I186" i="12" s="1"/>
  <c r="N186" i="12" s="1"/>
  <c r="H31" i="12"/>
  <c r="I31" i="12" s="1"/>
  <c r="N31" i="12" s="1"/>
  <c r="H175" i="12"/>
  <c r="H8" i="12"/>
  <c r="H152" i="12"/>
  <c r="H21" i="12"/>
  <c r="H165" i="12"/>
  <c r="H34" i="12"/>
  <c r="I34" i="12" s="1"/>
  <c r="N34" i="12" s="1"/>
  <c r="H178" i="12"/>
  <c r="I178" i="12" s="1"/>
  <c r="N178" i="12" s="1"/>
  <c r="H36" i="12"/>
  <c r="I36" i="12" s="1"/>
  <c r="N36" i="12" s="1"/>
  <c r="H180" i="12"/>
  <c r="I180" i="12" s="1"/>
  <c r="N180" i="12" s="1"/>
  <c r="H37" i="12"/>
  <c r="I37" i="12" s="1"/>
  <c r="N37" i="12" s="1"/>
  <c r="H181" i="12"/>
  <c r="I181" i="12" s="1"/>
  <c r="N181" i="12" s="1"/>
  <c r="H38" i="12"/>
  <c r="I38" i="12" s="1"/>
  <c r="N38" i="12" s="1"/>
  <c r="H182" i="12"/>
  <c r="H27" i="12"/>
  <c r="H171" i="12"/>
  <c r="H40" i="12"/>
  <c r="H184" i="12"/>
  <c r="H78" i="12"/>
  <c r="I78" i="12" s="1"/>
  <c r="N78" i="12" s="1"/>
  <c r="H63" i="12"/>
  <c r="I63" i="12" s="1"/>
  <c r="N63" i="12" s="1"/>
  <c r="H223" i="12"/>
  <c r="I223" i="12" s="1"/>
  <c r="N223" i="12" s="1"/>
  <c r="H82" i="12"/>
  <c r="I82" i="12" s="1"/>
  <c r="N82" i="12" s="1"/>
  <c r="H85" i="12"/>
  <c r="I85" i="12" s="1"/>
  <c r="N85" i="12" s="1"/>
  <c r="H65" i="12"/>
  <c r="I65" i="12" s="1"/>
  <c r="N65" i="12" s="1"/>
  <c r="H209" i="12"/>
  <c r="I209" i="12" s="1"/>
  <c r="N209" i="12" s="1"/>
  <c r="H54" i="12"/>
  <c r="H198" i="12"/>
  <c r="H43" i="12"/>
  <c r="H187" i="12"/>
  <c r="H20" i="12"/>
  <c r="H164" i="12"/>
  <c r="I164" i="12" s="1"/>
  <c r="H33" i="12"/>
  <c r="I33" i="12" s="1"/>
  <c r="N33" i="12" s="1"/>
  <c r="H177" i="12"/>
  <c r="I177" i="12" s="1"/>
  <c r="N177" i="12" s="1"/>
  <c r="H46" i="12"/>
  <c r="I46" i="12" s="1"/>
  <c r="N46" i="12" s="1"/>
  <c r="H190" i="12"/>
  <c r="I190" i="12" s="1"/>
  <c r="N190" i="12" s="1"/>
  <c r="H48" i="12"/>
  <c r="I48" i="12" s="1"/>
  <c r="N48" i="12" s="1"/>
  <c r="H192" i="12"/>
  <c r="I192" i="12" s="1"/>
  <c r="N192" i="12" s="1"/>
  <c r="H49" i="12"/>
  <c r="H193" i="12"/>
  <c r="H50" i="12"/>
  <c r="H194" i="12"/>
  <c r="H39" i="12"/>
  <c r="H183" i="12"/>
  <c r="I183" i="12" s="1"/>
  <c r="N183" i="12" s="1"/>
  <c r="H52" i="12"/>
  <c r="I52" i="12" s="1"/>
  <c r="N52" i="12" s="1"/>
  <c r="H196" i="12"/>
  <c r="I196" i="12" s="1"/>
  <c r="N196" i="12" s="1"/>
  <c r="H89" i="12"/>
  <c r="I89" i="12" s="1"/>
  <c r="N89" i="12" s="1"/>
  <c r="H217" i="12"/>
  <c r="I217" i="12" s="1"/>
  <c r="N217" i="12" s="1"/>
  <c r="H56" i="12"/>
  <c r="I56" i="12" s="1"/>
  <c r="N56" i="12" s="1"/>
  <c r="H226" i="12"/>
  <c r="I226" i="12" s="1"/>
  <c r="N226" i="12" s="1"/>
  <c r="H230" i="12"/>
  <c r="H77" i="12"/>
  <c r="H221" i="12"/>
  <c r="H66" i="12"/>
  <c r="H210" i="12"/>
  <c r="I210" i="12" s="1"/>
  <c r="N210" i="12" s="1"/>
  <c r="H55" i="12"/>
  <c r="I55" i="12" s="1"/>
  <c r="N55" i="12" s="1"/>
  <c r="H199" i="12"/>
  <c r="I199" i="12" s="1"/>
  <c r="N199" i="12" s="1"/>
  <c r="H32" i="12"/>
  <c r="I32" i="12" s="1"/>
  <c r="N32" i="12" s="1"/>
  <c r="H176" i="12"/>
  <c r="I176" i="12" s="1"/>
  <c r="H45" i="12"/>
  <c r="I45" i="12" s="1"/>
  <c r="N45" i="12" s="1"/>
  <c r="H189" i="12"/>
  <c r="I189" i="12" s="1"/>
  <c r="N189" i="12" s="1"/>
  <c r="H58" i="12"/>
  <c r="I58" i="12" s="1"/>
  <c r="N58" i="12" s="1"/>
  <c r="H202" i="12"/>
  <c r="H60" i="12"/>
  <c r="H204" i="12"/>
  <c r="H61" i="12"/>
  <c r="I61" i="12" s="1"/>
  <c r="N61" i="12" s="1"/>
  <c r="H205" i="12"/>
  <c r="H62" i="12"/>
  <c r="I62" i="12" s="1"/>
  <c r="N62" i="12" s="1"/>
  <c r="H206" i="12"/>
  <c r="I206" i="12" s="1"/>
  <c r="N206" i="12" s="1"/>
  <c r="H51" i="12"/>
  <c r="I51" i="12" s="1"/>
  <c r="N51" i="12" s="1"/>
  <c r="H195" i="12"/>
  <c r="I195" i="12" s="1"/>
  <c r="N195" i="12" s="1"/>
  <c r="H64" i="12"/>
  <c r="I64" i="12" s="1"/>
  <c r="N64" i="12" s="1"/>
  <c r="H208" i="12"/>
  <c r="I208" i="12" s="1"/>
  <c r="N208" i="12" s="1"/>
  <c r="H233" i="12"/>
  <c r="I233" i="12" s="1"/>
  <c r="N233" i="12" s="1"/>
  <c r="H72" i="12"/>
  <c r="H76" i="12"/>
  <c r="H79" i="12"/>
  <c r="H200" i="12"/>
  <c r="H228" i="12"/>
  <c r="H232" i="12"/>
  <c r="I232" i="12" s="1"/>
  <c r="N232" i="12" s="1"/>
  <c r="H113" i="12"/>
  <c r="I113" i="12" s="1"/>
  <c r="H257" i="12"/>
  <c r="I257" i="12" s="1"/>
  <c r="N257" i="12" s="1"/>
  <c r="H102" i="12"/>
  <c r="I102" i="12" s="1"/>
  <c r="N102" i="12" s="1"/>
  <c r="H246" i="12"/>
  <c r="I246" i="12" s="1"/>
  <c r="N246" i="12" s="1"/>
  <c r="H91" i="12"/>
  <c r="I91" i="12" s="1"/>
  <c r="N91" i="12" s="1"/>
  <c r="H235" i="12"/>
  <c r="I235" i="12" s="1"/>
  <c r="H68" i="12"/>
  <c r="H212" i="12"/>
  <c r="H81" i="12"/>
  <c r="H225" i="12"/>
  <c r="H94" i="12"/>
  <c r="I94" i="12" s="1"/>
  <c r="N94" i="12" s="1"/>
  <c r="H238" i="12"/>
  <c r="I238" i="12" s="1"/>
  <c r="N238" i="12" s="1"/>
  <c r="H96" i="12"/>
  <c r="I96" i="12" s="1"/>
  <c r="N96" i="12" s="1"/>
  <c r="H240" i="12"/>
  <c r="I240" i="12" s="1"/>
  <c r="N240" i="12" s="1"/>
  <c r="H97" i="12"/>
  <c r="I97" i="12" s="1"/>
  <c r="N97" i="12" s="1"/>
  <c r="H241" i="12"/>
  <c r="I241" i="12" s="1"/>
  <c r="N241" i="12" s="1"/>
  <c r="H98" i="12"/>
  <c r="I98" i="12" s="1"/>
  <c r="N98" i="12" s="1"/>
  <c r="H242" i="12"/>
  <c r="I242" i="12" s="1"/>
  <c r="N242" i="12" s="1"/>
  <c r="H87" i="12"/>
  <c r="H231" i="12"/>
  <c r="H100" i="12"/>
  <c r="H244" i="12"/>
  <c r="H59" i="12"/>
  <c r="H259" i="12"/>
  <c r="I259" i="12" s="1"/>
  <c r="N259" i="12" s="1"/>
  <c r="H236" i="12"/>
  <c r="I236" i="12" s="1"/>
  <c r="N236" i="12" s="1"/>
  <c r="H249" i="12"/>
  <c r="I249" i="12" s="1"/>
  <c r="N249" i="12" s="1"/>
  <c r="H262" i="12"/>
  <c r="I262" i="12" s="1"/>
  <c r="N262" i="12" s="1"/>
  <c r="H264" i="12"/>
  <c r="I264" i="12" s="1"/>
  <c r="N264" i="12" s="1"/>
  <c r="H265" i="12"/>
  <c r="I265" i="12" s="1"/>
  <c r="N265" i="12" s="1"/>
  <c r="H266" i="12"/>
  <c r="I266" i="12" s="1"/>
  <c r="N266" i="12" s="1"/>
  <c r="H255" i="12"/>
  <c r="H268" i="12"/>
  <c r="H75" i="12"/>
  <c r="H125" i="12"/>
  <c r="H269" i="12"/>
  <c r="H114" i="12"/>
  <c r="I114" i="12" s="1"/>
  <c r="N114" i="12" s="1"/>
  <c r="H258" i="12"/>
  <c r="I258" i="12" s="1"/>
  <c r="N258" i="12" s="1"/>
  <c r="H103" i="12"/>
  <c r="I103" i="12" s="1"/>
  <c r="H247" i="12"/>
  <c r="I247" i="12" s="1"/>
  <c r="N247" i="12" s="1"/>
  <c r="H80" i="12"/>
  <c r="I80" i="12" s="1"/>
  <c r="N80" i="12" s="1"/>
  <c r="H224" i="12"/>
  <c r="I224" i="12" s="1"/>
  <c r="N224" i="12" s="1"/>
  <c r="H93" i="12"/>
  <c r="I93" i="12" s="1"/>
  <c r="N93" i="12" s="1"/>
  <c r="H237" i="12"/>
  <c r="H106" i="12"/>
  <c r="H250" i="12"/>
  <c r="H108" i="12"/>
  <c r="H252" i="12"/>
  <c r="H109" i="12"/>
  <c r="I109" i="12" s="1"/>
  <c r="N109" i="12" s="1"/>
  <c r="H253" i="12"/>
  <c r="I253" i="12" s="1"/>
  <c r="N253" i="12" s="1"/>
  <c r="H110" i="12"/>
  <c r="I110" i="12" s="1"/>
  <c r="N110" i="12" s="1"/>
  <c r="H254" i="12"/>
  <c r="I254" i="12" s="1"/>
  <c r="N254" i="12" s="1"/>
  <c r="H99" i="12"/>
  <c r="I99" i="12" s="1"/>
  <c r="N99" i="12" s="1"/>
  <c r="H243" i="12"/>
  <c r="I243" i="12" s="1"/>
  <c r="N243" i="12" s="1"/>
  <c r="H112" i="12"/>
  <c r="I112" i="12" s="1"/>
  <c r="N112" i="12" s="1"/>
  <c r="H256" i="12"/>
  <c r="H137" i="12"/>
  <c r="H126" i="12"/>
  <c r="I126" i="12" s="1"/>
  <c r="N126" i="12" s="1"/>
  <c r="H4" i="12"/>
  <c r="I4" i="12" s="1"/>
  <c r="H115" i="12"/>
  <c r="H92" i="12"/>
  <c r="I92" i="12" s="1"/>
  <c r="N92" i="12" s="1"/>
  <c r="H105" i="12"/>
  <c r="I105" i="12" s="1"/>
  <c r="N105" i="12" s="1"/>
  <c r="H118" i="12"/>
  <c r="I118" i="12" s="1"/>
  <c r="N118" i="12" s="1"/>
  <c r="H120" i="12"/>
  <c r="I120" i="12" s="1"/>
  <c r="H121" i="12"/>
  <c r="I121" i="12" s="1"/>
  <c r="N121" i="12" s="1"/>
  <c r="H122" i="12"/>
  <c r="I122" i="12" s="1"/>
  <c r="N122" i="12" s="1"/>
  <c r="H111" i="12"/>
  <c r="I111" i="12" s="1"/>
  <c r="N111" i="12" s="1"/>
  <c r="H124" i="12"/>
  <c r="H219" i="12"/>
  <c r="M187" i="12"/>
  <c r="C6" i="12"/>
  <c r="I14" i="12"/>
  <c r="N14" i="12" s="1"/>
  <c r="I18" i="12"/>
  <c r="N18" i="12" s="1"/>
  <c r="I22" i="12"/>
  <c r="N22" i="12" s="1"/>
  <c r="I50" i="12"/>
  <c r="N50" i="12" s="1"/>
  <c r="I54" i="12"/>
  <c r="N54" i="12" s="1"/>
  <c r="I66" i="12"/>
  <c r="N66" i="12" s="1"/>
  <c r="I70" i="12"/>
  <c r="N70" i="12" s="1"/>
  <c r="I74" i="12"/>
  <c r="N74" i="12" s="1"/>
  <c r="I90" i="12"/>
  <c r="N90" i="12" s="1"/>
  <c r="I106" i="12"/>
  <c r="N106" i="12" s="1"/>
  <c r="I134" i="12"/>
  <c r="N134" i="12" s="1"/>
  <c r="I138" i="12"/>
  <c r="N138" i="12" s="1"/>
  <c r="I142" i="12"/>
  <c r="N142" i="12" s="1"/>
  <c r="I150" i="12"/>
  <c r="N150" i="12" s="1"/>
  <c r="I158" i="12"/>
  <c r="N158" i="12" s="1"/>
  <c r="I162" i="12"/>
  <c r="N162" i="12" s="1"/>
  <c r="I166" i="12"/>
  <c r="N166" i="12" s="1"/>
  <c r="I5" i="12"/>
  <c r="N5" i="12" s="1"/>
  <c r="I13" i="12"/>
  <c r="N13" i="12" s="1"/>
  <c r="I17" i="12"/>
  <c r="N17" i="12" s="1"/>
  <c r="I21" i="12"/>
  <c r="N21" i="12" s="1"/>
  <c r="I25" i="12"/>
  <c r="N25" i="12" s="1"/>
  <c r="I41" i="12"/>
  <c r="N41" i="12" s="1"/>
  <c r="I49" i="12"/>
  <c r="N49" i="12" s="1"/>
  <c r="I57" i="12"/>
  <c r="N57" i="12" s="1"/>
  <c r="I73" i="12"/>
  <c r="N73" i="12" s="1"/>
  <c r="I77" i="12"/>
  <c r="N77" i="12" s="1"/>
  <c r="I81" i="12"/>
  <c r="N81" i="12" s="1"/>
  <c r="I101" i="12"/>
  <c r="N101" i="12" s="1"/>
  <c r="I125" i="12"/>
  <c r="N125" i="12" s="1"/>
  <c r="I129" i="12"/>
  <c r="N129" i="12" s="1"/>
  <c r="I133" i="12"/>
  <c r="N133" i="12" s="1"/>
  <c r="I137" i="12"/>
  <c r="N137" i="12" s="1"/>
  <c r="I149" i="12"/>
  <c r="N149" i="12" s="1"/>
  <c r="N153" i="12"/>
  <c r="I157" i="12"/>
  <c r="I165" i="12"/>
  <c r="N165" i="12" s="1"/>
  <c r="I173" i="12"/>
  <c r="N173" i="12" s="1"/>
  <c r="N4" i="12"/>
  <c r="I20" i="12"/>
  <c r="N20" i="12" s="1"/>
  <c r="I60" i="12"/>
  <c r="N60" i="12" s="1"/>
  <c r="I68" i="12"/>
  <c r="N68" i="12" s="1"/>
  <c r="I76" i="12"/>
  <c r="N76" i="12" s="1"/>
  <c r="I84" i="12"/>
  <c r="N84" i="12" s="1"/>
  <c r="I100" i="12"/>
  <c r="N100" i="12" s="1"/>
  <c r="I108" i="12"/>
  <c r="N108" i="12" s="1"/>
  <c r="I124" i="12"/>
  <c r="N124" i="12" s="1"/>
  <c r="I132" i="12"/>
  <c r="N132" i="12" s="1"/>
  <c r="I148" i="12"/>
  <c r="N148" i="12" s="1"/>
  <c r="I156" i="12"/>
  <c r="N156" i="12" s="1"/>
  <c r="I7" i="12"/>
  <c r="N7" i="12" s="1"/>
  <c r="I23" i="12"/>
  <c r="N23" i="12" s="1"/>
  <c r="I39" i="12"/>
  <c r="N39" i="12" s="1"/>
  <c r="I71" i="12"/>
  <c r="N71" i="12" s="1"/>
  <c r="I79" i="12"/>
  <c r="N79" i="12" s="1"/>
  <c r="I87" i="12"/>
  <c r="N87" i="12" s="1"/>
  <c r="I95" i="12"/>
  <c r="N95" i="12" s="1"/>
  <c r="I119" i="12"/>
  <c r="N119" i="12" s="1"/>
  <c r="I151" i="12"/>
  <c r="N151" i="12" s="1"/>
  <c r="I175" i="12"/>
  <c r="N175" i="12" s="1"/>
  <c r="I179" i="12"/>
  <c r="N179" i="12" s="1"/>
  <c r="I187" i="12"/>
  <c r="N187" i="12" s="1"/>
  <c r="I191" i="12"/>
  <c r="N191" i="12" s="1"/>
  <c r="I203" i="12"/>
  <c r="N203" i="12" s="1"/>
  <c r="I219" i="12"/>
  <c r="N219" i="12" s="1"/>
  <c r="I231" i="12"/>
  <c r="N231" i="12" s="1"/>
  <c r="I255" i="12"/>
  <c r="N255" i="12" s="1"/>
  <c r="I182" i="12"/>
  <c r="N182" i="12" s="1"/>
  <c r="I194" i="12"/>
  <c r="N194" i="12" s="1"/>
  <c r="I198" i="12"/>
  <c r="N198" i="12" s="1"/>
  <c r="I202" i="12"/>
  <c r="N202" i="12" s="1"/>
  <c r="I222" i="12"/>
  <c r="N222" i="12" s="1"/>
  <c r="I230" i="12"/>
  <c r="N230" i="12" s="1"/>
  <c r="I234" i="12"/>
  <c r="N234" i="12" s="1"/>
  <c r="I250" i="12"/>
  <c r="N250" i="12" s="1"/>
  <c r="I8" i="12"/>
  <c r="N8" i="12" s="1"/>
  <c r="I24" i="12"/>
  <c r="N24" i="12" s="1"/>
  <c r="I40" i="12"/>
  <c r="N40" i="12" s="1"/>
  <c r="I72" i="12"/>
  <c r="N72" i="12" s="1"/>
  <c r="I88" i="12"/>
  <c r="N88" i="12" s="1"/>
  <c r="I104" i="12"/>
  <c r="N104" i="12" s="1"/>
  <c r="I144" i="12"/>
  <c r="N144" i="12" s="1"/>
  <c r="I152" i="12"/>
  <c r="N152" i="12" s="1"/>
  <c r="I168" i="12"/>
  <c r="N168" i="12" s="1"/>
  <c r="I11" i="12"/>
  <c r="N11" i="12" s="1"/>
  <c r="I27" i="12"/>
  <c r="N27" i="12" s="1"/>
  <c r="I35" i="12"/>
  <c r="N35" i="12" s="1"/>
  <c r="I43" i="12"/>
  <c r="N43" i="12" s="1"/>
  <c r="I59" i="12"/>
  <c r="N59" i="12" s="1"/>
  <c r="I67" i="12"/>
  <c r="N67" i="12" s="1"/>
  <c r="I75" i="12"/>
  <c r="N75" i="12" s="1"/>
  <c r="I83" i="12"/>
  <c r="N83" i="12" s="1"/>
  <c r="I115" i="12"/>
  <c r="N115" i="12" s="1"/>
  <c r="I123" i="12"/>
  <c r="N123" i="12" s="1"/>
  <c r="I171" i="12"/>
  <c r="N171" i="12" s="1"/>
  <c r="I185" i="12"/>
  <c r="N185" i="12" s="1"/>
  <c r="I193" i="12"/>
  <c r="N193" i="12" s="1"/>
  <c r="I205" i="12"/>
  <c r="N205" i="12" s="1"/>
  <c r="I221" i="12"/>
  <c r="N221" i="12" s="1"/>
  <c r="I225" i="12"/>
  <c r="N225" i="12" s="1"/>
  <c r="I237" i="12"/>
  <c r="N237" i="12" s="1"/>
  <c r="I269" i="12"/>
  <c r="N269" i="12" s="1"/>
  <c r="I184" i="12"/>
  <c r="N184" i="12" s="1"/>
  <c r="I188" i="12"/>
  <c r="N188" i="12" s="1"/>
  <c r="I200" i="12"/>
  <c r="N200" i="12" s="1"/>
  <c r="I204" i="12"/>
  <c r="N204" i="12" s="1"/>
  <c r="I212" i="12"/>
  <c r="N212" i="12" s="1"/>
  <c r="I220" i="12"/>
  <c r="N220" i="12" s="1"/>
  <c r="I228" i="12"/>
  <c r="N228" i="12" s="1"/>
  <c r="I244" i="12"/>
  <c r="N244" i="12" s="1"/>
  <c r="I252" i="12"/>
  <c r="N252" i="12" s="1"/>
  <c r="I260" i="12"/>
  <c r="N260" i="12" s="1"/>
  <c r="I268" i="12"/>
  <c r="N268" i="12" s="1"/>
  <c r="I256" i="12"/>
  <c r="N256" i="12" s="1"/>
  <c r="M32" i="12"/>
  <c r="M34" i="12"/>
  <c r="M80" i="12"/>
  <c r="M128" i="12"/>
  <c r="M7" i="12"/>
  <c r="M15" i="12"/>
  <c r="M186" i="12"/>
  <c r="M180" i="12"/>
  <c r="G5" i="11"/>
  <c r="O3" i="11" s="1"/>
  <c r="O2" i="11" s="1"/>
  <c r="G7" i="11"/>
  <c r="O5" i="11" s="1"/>
  <c r="O6" i="11" s="1"/>
  <c r="B8" i="12"/>
  <c r="C8" i="12" s="1"/>
  <c r="B11" i="12"/>
  <c r="AG15" i="9"/>
  <c r="U18" i="9"/>
  <c r="U17" i="9"/>
  <c r="AC17" i="9" s="1"/>
  <c r="AG17" i="9" s="1"/>
  <c r="J8" i="12" l="1"/>
  <c r="J152" i="12"/>
  <c r="J220" i="12"/>
  <c r="J93" i="12"/>
  <c r="J237" i="12"/>
  <c r="J46" i="12"/>
  <c r="J190" i="12"/>
  <c r="J47" i="12"/>
  <c r="K47" i="12" s="1"/>
  <c r="J191" i="12"/>
  <c r="K191" i="12" s="1"/>
  <c r="J199" i="12"/>
  <c r="K199" i="12" s="1"/>
  <c r="J144" i="12"/>
  <c r="K144" i="12" s="1"/>
  <c r="J268" i="12"/>
  <c r="J133" i="12"/>
  <c r="J267" i="12"/>
  <c r="J86" i="12"/>
  <c r="J230" i="12"/>
  <c r="J39" i="12"/>
  <c r="J183" i="12"/>
  <c r="J29" i="12"/>
  <c r="J173" i="12"/>
  <c r="K173" i="12" s="1"/>
  <c r="J42" i="12"/>
  <c r="K42" i="12" s="1"/>
  <c r="J186" i="12"/>
  <c r="K186" i="12" s="1"/>
  <c r="J223" i="12"/>
  <c r="K223" i="12" s="1"/>
  <c r="J242" i="12"/>
  <c r="K242" i="12" s="1"/>
  <c r="J195" i="12"/>
  <c r="J185" i="12"/>
  <c r="J54" i="12"/>
  <c r="J247" i="12"/>
  <c r="J207" i="12"/>
  <c r="J66" i="12"/>
  <c r="J259" i="12"/>
  <c r="J231" i="12"/>
  <c r="K231" i="12" s="1"/>
  <c r="J153" i="12"/>
  <c r="K153" i="12" s="1"/>
  <c r="J204" i="12"/>
  <c r="K204" i="12" s="1"/>
  <c r="J146" i="12"/>
  <c r="K146" i="12" s="1"/>
  <c r="J243" i="12"/>
  <c r="K243" i="12" s="1"/>
  <c r="J246" i="12"/>
  <c r="J21" i="12"/>
  <c r="J119" i="12"/>
  <c r="J14" i="12"/>
  <c r="J114" i="12"/>
  <c r="J19" i="12"/>
  <c r="J131" i="12"/>
  <c r="J217" i="12"/>
  <c r="K217" i="12" s="1"/>
  <c r="J257" i="12"/>
  <c r="J104" i="12"/>
  <c r="K104" i="12" s="1"/>
  <c r="J184" i="12"/>
  <c r="K184" i="12" s="1"/>
  <c r="J38" i="12"/>
  <c r="K38" i="12" s="1"/>
  <c r="J125" i="12"/>
  <c r="J132" i="12"/>
  <c r="J161" i="12"/>
  <c r="J20" i="12"/>
  <c r="J164" i="12"/>
  <c r="J7" i="12"/>
  <c r="J105" i="12"/>
  <c r="J249" i="12"/>
  <c r="J58" i="12"/>
  <c r="K58" i="12" s="1"/>
  <c r="J202" i="12"/>
  <c r="K202" i="12" s="1"/>
  <c r="J59" i="12"/>
  <c r="K59" i="12" s="1"/>
  <c r="J203" i="12"/>
  <c r="K203" i="12" s="1"/>
  <c r="J12" i="12"/>
  <c r="J156" i="12"/>
  <c r="J115" i="12"/>
  <c r="J145" i="12"/>
  <c r="J76" i="12"/>
  <c r="J98" i="12"/>
  <c r="J51" i="12"/>
  <c r="J41" i="12"/>
  <c r="K41" i="12" s="1"/>
  <c r="J198" i="12"/>
  <c r="K198" i="12" s="1"/>
  <c r="J197" i="12"/>
  <c r="K197" i="12" s="1"/>
  <c r="J210" i="12"/>
  <c r="K210" i="12" s="1"/>
  <c r="J77" i="12"/>
  <c r="K77" i="12" s="1"/>
  <c r="J250" i="12"/>
  <c r="J99" i="12"/>
  <c r="J224" i="12"/>
  <c r="J72" i="12"/>
  <c r="J111" i="12"/>
  <c r="J33" i="12"/>
  <c r="J228" i="12"/>
  <c r="J4" i="12"/>
  <c r="K4" i="12" s="1"/>
  <c r="J189" i="12"/>
  <c r="K189" i="12" s="1"/>
  <c r="J96" i="12"/>
  <c r="K96" i="12" s="1"/>
  <c r="J135" i="12"/>
  <c r="K135" i="12" s="1"/>
  <c r="J34" i="12"/>
  <c r="K34" i="12" s="1"/>
  <c r="J17" i="12"/>
  <c r="J32" i="12"/>
  <c r="J176" i="12"/>
  <c r="J79" i="12"/>
  <c r="J117" i="12"/>
  <c r="J261" i="12"/>
  <c r="J70" i="12"/>
  <c r="J214" i="12"/>
  <c r="K214" i="12" s="1"/>
  <c r="J71" i="12"/>
  <c r="K71" i="12" s="1"/>
  <c r="J215" i="12"/>
  <c r="K215" i="12" s="1"/>
  <c r="J24" i="12"/>
  <c r="K24" i="12" s="1"/>
  <c r="J168" i="12"/>
  <c r="K168" i="12" s="1"/>
  <c r="J13" i="12"/>
  <c r="J157" i="12"/>
  <c r="J148" i="12"/>
  <c r="J110" i="12"/>
  <c r="J254" i="12"/>
  <c r="J63" i="12"/>
  <c r="J53" i="12"/>
  <c r="J87" i="12"/>
  <c r="K87" i="12" s="1"/>
  <c r="J234" i="12"/>
  <c r="K234" i="12" s="1"/>
  <c r="J106" i="12"/>
  <c r="K106" i="12" s="1"/>
  <c r="J49" i="12"/>
  <c r="K49" i="12" s="1"/>
  <c r="J102" i="12"/>
  <c r="K102" i="12" s="1"/>
  <c r="J244" i="12"/>
  <c r="J262" i="12"/>
  <c r="J205" i="12"/>
  <c r="J101" i="12"/>
  <c r="J177" i="12"/>
  <c r="J84" i="12"/>
  <c r="J43" i="12"/>
  <c r="J55" i="12"/>
  <c r="K55" i="12" s="1"/>
  <c r="J142" i="12"/>
  <c r="K142" i="12" s="1"/>
  <c r="J240" i="12"/>
  <c r="K240" i="12" s="1"/>
  <c r="J124" i="12"/>
  <c r="K124" i="12" s="1"/>
  <c r="J225" i="12"/>
  <c r="K225" i="12" s="1"/>
  <c r="J74" i="12"/>
  <c r="J211" i="12"/>
  <c r="J44" i="12"/>
  <c r="J188" i="12"/>
  <c r="J175" i="12"/>
  <c r="J129" i="12"/>
  <c r="J16" i="12"/>
  <c r="J82" i="12"/>
  <c r="K82" i="12" s="1"/>
  <c r="J226" i="12"/>
  <c r="K226" i="12" s="1"/>
  <c r="J83" i="12"/>
  <c r="K83" i="12" s="1"/>
  <c r="J227" i="12"/>
  <c r="K227" i="12" s="1"/>
  <c r="J36" i="12"/>
  <c r="K36" i="12" s="1"/>
  <c r="J180" i="12"/>
  <c r="J25" i="12"/>
  <c r="J169" i="12"/>
  <c r="J232" i="12"/>
  <c r="J122" i="12"/>
  <c r="J266" i="12"/>
  <c r="J75" i="12"/>
  <c r="J219" i="12"/>
  <c r="K219" i="12" s="1"/>
  <c r="J65" i="12"/>
  <c r="K65" i="12" s="1"/>
  <c r="J209" i="12"/>
  <c r="K209" i="12" s="1"/>
  <c r="J78" i="12"/>
  <c r="K78" i="12" s="1"/>
  <c r="J222" i="12"/>
  <c r="K222" i="12" s="1"/>
  <c r="J235" i="12"/>
  <c r="J48" i="12"/>
  <c r="J181" i="12"/>
  <c r="J134" i="12"/>
  <c r="J221" i="12"/>
  <c r="J90" i="12"/>
  <c r="J172" i="12"/>
  <c r="J60" i="12"/>
  <c r="K60" i="12" s="1"/>
  <c r="J3" i="12"/>
  <c r="K3" i="12" s="1"/>
  <c r="J233" i="12"/>
  <c r="K233" i="12" s="1"/>
  <c r="J165" i="12"/>
  <c r="K165" i="12" s="1"/>
  <c r="J118" i="12"/>
  <c r="K118" i="12" s="1"/>
  <c r="J216" i="12"/>
  <c r="J158" i="12"/>
  <c r="J245" i="12"/>
  <c r="J92" i="12"/>
  <c r="J64" i="12"/>
  <c r="J26" i="12"/>
  <c r="J113" i="12"/>
  <c r="J248" i="12"/>
  <c r="J160" i="12"/>
  <c r="K160" i="12" s="1"/>
  <c r="J182" i="12"/>
  <c r="K182" i="12" s="1"/>
  <c r="J91" i="12"/>
  <c r="K91" i="12" s="1"/>
  <c r="J179" i="12"/>
  <c r="K179" i="12" s="1"/>
  <c r="J218" i="12"/>
  <c r="J174" i="12"/>
  <c r="J56" i="12"/>
  <c r="J200" i="12"/>
  <c r="J2" i="12"/>
  <c r="J141" i="12"/>
  <c r="J100" i="12"/>
  <c r="J94" i="12"/>
  <c r="K94" i="12" s="1"/>
  <c r="J238" i="12"/>
  <c r="K238" i="12" s="1"/>
  <c r="J95" i="12"/>
  <c r="K95" i="12" s="1"/>
  <c r="J239" i="12"/>
  <c r="K239" i="12" s="1"/>
  <c r="J192" i="12"/>
  <c r="K192" i="12" s="1"/>
  <c r="J37" i="12"/>
  <c r="J67" i="12"/>
  <c r="J28" i="12"/>
  <c r="J251" i="12"/>
  <c r="J193" i="12"/>
  <c r="J89" i="12"/>
  <c r="J80" i="12"/>
  <c r="J263" i="12"/>
  <c r="J196" i="12"/>
  <c r="K196" i="12" s="1"/>
  <c r="J258" i="12"/>
  <c r="J130" i="12"/>
  <c r="K130" i="12" s="1"/>
  <c r="J73" i="12"/>
  <c r="K73" i="12" s="1"/>
  <c r="J170" i="12"/>
  <c r="J126" i="12"/>
  <c r="J45" i="12"/>
  <c r="J143" i="12"/>
  <c r="J229" i="12"/>
  <c r="J138" i="12"/>
  <c r="J35" i="12"/>
  <c r="J265" i="12"/>
  <c r="J30" i="12"/>
  <c r="K30" i="12" s="1"/>
  <c r="J68" i="12"/>
  <c r="K68" i="12" s="1"/>
  <c r="J212" i="12"/>
  <c r="K212" i="12" s="1"/>
  <c r="J9" i="12"/>
  <c r="K9" i="12" s="1"/>
  <c r="J107" i="12"/>
  <c r="J112" i="12"/>
  <c r="J61" i="12"/>
  <c r="J255" i="12"/>
  <c r="J236" i="12"/>
  <c r="J40" i="12"/>
  <c r="J123" i="12"/>
  <c r="J127" i="12"/>
  <c r="K127" i="12" s="1"/>
  <c r="J85" i="12"/>
  <c r="K85" i="12" s="1"/>
  <c r="J139" i="12"/>
  <c r="K139" i="12" s="1"/>
  <c r="J151" i="12"/>
  <c r="K151" i="12" s="1"/>
  <c r="J103" i="12"/>
  <c r="K103" i="12" s="1"/>
  <c r="J27" i="12"/>
  <c r="J116" i="12"/>
  <c r="J260" i="12"/>
  <c r="J57" i="12"/>
  <c r="J201" i="12"/>
  <c r="J10" i="12"/>
  <c r="J154" i="12"/>
  <c r="J11" i="12"/>
  <c r="K11" i="12" s="1"/>
  <c r="J155" i="12"/>
  <c r="K155" i="12" s="1"/>
  <c r="J256" i="12"/>
  <c r="J108" i="12"/>
  <c r="K108" i="12" s="1"/>
  <c r="J252" i="12"/>
  <c r="J97" i="12"/>
  <c r="J241" i="12"/>
  <c r="J50" i="12"/>
  <c r="J194" i="12"/>
  <c r="J147" i="12"/>
  <c r="J208" i="12"/>
  <c r="J137" i="12"/>
  <c r="J6" i="12"/>
  <c r="K6" i="12" s="1"/>
  <c r="J150" i="12"/>
  <c r="K150" i="12" s="1"/>
  <c r="J163" i="12"/>
  <c r="K163" i="12" s="1"/>
  <c r="J18" i="12"/>
  <c r="K18" i="12" s="1"/>
  <c r="J187" i="12"/>
  <c r="K187" i="12" s="1"/>
  <c r="J136" i="12"/>
  <c r="J81" i="12"/>
  <c r="J88" i="12"/>
  <c r="J171" i="12"/>
  <c r="J128" i="12"/>
  <c r="K128" i="12" s="1"/>
  <c r="J52" i="12"/>
  <c r="K52" i="12" s="1"/>
  <c r="J69" i="12"/>
  <c r="K69" i="12" s="1"/>
  <c r="J213" i="12"/>
  <c r="K213" i="12" s="1"/>
  <c r="J22" i="12"/>
  <c r="K22" i="12" s="1"/>
  <c r="J166" i="12"/>
  <c r="K166" i="12" s="1"/>
  <c r="J23" i="12"/>
  <c r="K23" i="12" s="1"/>
  <c r="J167" i="12"/>
  <c r="K167" i="12" s="1"/>
  <c r="J31" i="12"/>
  <c r="J120" i="12"/>
  <c r="J264" i="12"/>
  <c r="J109" i="12"/>
  <c r="J253" i="12"/>
  <c r="J62" i="12"/>
  <c r="K62" i="12" s="1"/>
  <c r="J206" i="12"/>
  <c r="K206" i="12" s="1"/>
  <c r="J15" i="12"/>
  <c r="K15" i="12" s="1"/>
  <c r="J159" i="12"/>
  <c r="K159" i="12" s="1"/>
  <c r="J5" i="12"/>
  <c r="K5" i="12" s="1"/>
  <c r="J149" i="12"/>
  <c r="K149" i="12" s="1"/>
  <c r="J162" i="12"/>
  <c r="K162" i="12" s="1"/>
  <c r="J140" i="12"/>
  <c r="J178" i="12"/>
  <c r="J121" i="12"/>
  <c r="K121" i="12" s="1"/>
  <c r="C11" i="12"/>
  <c r="M109" i="12"/>
  <c r="M105" i="12"/>
  <c r="M130" i="12"/>
  <c r="N239" i="12"/>
  <c r="C24" i="12"/>
  <c r="C23" i="12"/>
  <c r="N235" i="12"/>
  <c r="C22" i="12"/>
  <c r="AC19" i="9"/>
  <c r="N103" i="12"/>
  <c r="M9" i="12"/>
  <c r="M85" i="12"/>
  <c r="M118" i="12"/>
  <c r="M22" i="12"/>
  <c r="M61" i="12"/>
  <c r="M106" i="12"/>
  <c r="M8" i="12"/>
  <c r="M57" i="12"/>
  <c r="M104" i="12"/>
  <c r="M6" i="12"/>
  <c r="M37" i="12"/>
  <c r="M94" i="12"/>
  <c r="M184" i="12"/>
  <c r="M13" i="12"/>
  <c r="M82" i="12"/>
  <c r="M147" i="12"/>
  <c r="M159" i="12"/>
  <c r="M177" i="12"/>
  <c r="M166" i="12"/>
  <c r="M70" i="12"/>
  <c r="M99" i="12"/>
  <c r="M111" i="12"/>
  <c r="M157" i="12"/>
  <c r="M154" i="12"/>
  <c r="M58" i="12"/>
  <c r="M91" i="12"/>
  <c r="M103" i="12"/>
  <c r="M153" i="12"/>
  <c r="M152" i="12"/>
  <c r="M56" i="12"/>
  <c r="M51" i="12"/>
  <c r="M63" i="12"/>
  <c r="M133" i="12"/>
  <c r="M142" i="12"/>
  <c r="M46" i="12"/>
  <c r="C10" i="12"/>
  <c r="K269" i="12" s="1"/>
  <c r="M182" i="12"/>
  <c r="M101" i="12"/>
  <c r="M5" i="12"/>
  <c r="M102" i="12"/>
  <c r="M78" i="12"/>
  <c r="M54" i="12"/>
  <c r="M4" i="12"/>
  <c r="M171" i="12"/>
  <c r="M75" i="12"/>
  <c r="M178" i="12"/>
  <c r="M87" i="12"/>
  <c r="M183" i="12"/>
  <c r="M145" i="12"/>
  <c r="M97" i="12"/>
  <c r="M49" i="12"/>
  <c r="M172" i="12"/>
  <c r="M148" i="12"/>
  <c r="M124" i="12"/>
  <c r="M100" i="12"/>
  <c r="M76" i="12"/>
  <c r="M52" i="12"/>
  <c r="M28" i="12"/>
  <c r="M3" i="12"/>
  <c r="M176" i="12"/>
  <c r="M95" i="12"/>
  <c r="M185" i="12"/>
  <c r="M53" i="12"/>
  <c r="M126" i="12"/>
  <c r="M30" i="12"/>
  <c r="M163" i="12"/>
  <c r="M67" i="12"/>
  <c r="M174" i="12"/>
  <c r="M79" i="12"/>
  <c r="M181" i="12"/>
  <c r="M141" i="12"/>
  <c r="M93" i="12"/>
  <c r="M45" i="12"/>
  <c r="M170" i="12"/>
  <c r="M146" i="12"/>
  <c r="M122" i="12"/>
  <c r="M98" i="12"/>
  <c r="M74" i="12"/>
  <c r="M50" i="12"/>
  <c r="M26" i="12"/>
  <c r="M83" i="12"/>
  <c r="M149" i="12"/>
  <c r="M150" i="12"/>
  <c r="M155" i="12"/>
  <c r="M59" i="12"/>
  <c r="M167" i="12"/>
  <c r="M71" i="12"/>
  <c r="M179" i="12"/>
  <c r="M137" i="12"/>
  <c r="M89" i="12"/>
  <c r="M41" i="12"/>
  <c r="M168" i="12"/>
  <c r="M144" i="12"/>
  <c r="M120" i="12"/>
  <c r="M96" i="12"/>
  <c r="M72" i="12"/>
  <c r="M48" i="12"/>
  <c r="M24" i="12"/>
  <c r="M55" i="12"/>
  <c r="M81" i="12"/>
  <c r="M116" i="12"/>
  <c r="M68" i="12"/>
  <c r="M131" i="12"/>
  <c r="M35" i="12"/>
  <c r="M143" i="12"/>
  <c r="M47" i="12"/>
  <c r="M173" i="12"/>
  <c r="M125" i="12"/>
  <c r="M77" i="12"/>
  <c r="M29" i="12"/>
  <c r="M162" i="12"/>
  <c r="M138" i="12"/>
  <c r="M114" i="12"/>
  <c r="M90" i="12"/>
  <c r="M66" i="12"/>
  <c r="M42" i="12"/>
  <c r="M18" i="12"/>
  <c r="M43" i="12"/>
  <c r="M151" i="12"/>
  <c r="M129" i="12"/>
  <c r="M140" i="12"/>
  <c r="M92" i="12"/>
  <c r="M20" i="12"/>
  <c r="M123" i="12"/>
  <c r="M27" i="12"/>
  <c r="M135" i="12"/>
  <c r="M39" i="12"/>
  <c r="M169" i="12"/>
  <c r="M121" i="12"/>
  <c r="M73" i="12"/>
  <c r="M25" i="12"/>
  <c r="M160" i="12"/>
  <c r="M136" i="12"/>
  <c r="M112" i="12"/>
  <c r="M88" i="12"/>
  <c r="M64" i="12"/>
  <c r="M40" i="12"/>
  <c r="M16" i="12"/>
  <c r="M139" i="12"/>
  <c r="M33" i="12"/>
  <c r="M115" i="12"/>
  <c r="M19" i="12"/>
  <c r="M127" i="12"/>
  <c r="M31" i="12"/>
  <c r="M165" i="12"/>
  <c r="M117" i="12"/>
  <c r="M69" i="12"/>
  <c r="M21" i="12"/>
  <c r="M158" i="12"/>
  <c r="M134" i="12"/>
  <c r="M110" i="12"/>
  <c r="M86" i="12"/>
  <c r="M62" i="12"/>
  <c r="M38" i="12"/>
  <c r="M14" i="12"/>
  <c r="M175" i="12"/>
  <c r="M164" i="12"/>
  <c r="M44" i="12"/>
  <c r="M107" i="12"/>
  <c r="M11" i="12"/>
  <c r="M119" i="12"/>
  <c r="M23" i="12"/>
  <c r="M161" i="12"/>
  <c r="M113" i="12"/>
  <c r="M65" i="12"/>
  <c r="M17" i="12"/>
  <c r="M156" i="12"/>
  <c r="M132" i="12"/>
  <c r="M108" i="12"/>
  <c r="M84" i="12"/>
  <c r="M60" i="12"/>
  <c r="M36" i="12"/>
  <c r="M12" i="12"/>
  <c r="M10" i="12"/>
  <c r="N164" i="12"/>
  <c r="C30" i="12"/>
  <c r="BL30" i="9" s="1"/>
  <c r="N3" i="12"/>
  <c r="N176" i="12"/>
  <c r="N120" i="12"/>
  <c r="C29" i="12"/>
  <c r="BL29" i="9" s="1"/>
  <c r="N113" i="12"/>
  <c r="N157" i="12"/>
  <c r="K137" i="12" l="1"/>
  <c r="K154" i="12"/>
  <c r="K123" i="12"/>
  <c r="K35" i="12"/>
  <c r="K80" i="12"/>
  <c r="K100" i="12"/>
  <c r="K113" i="12"/>
  <c r="K172" i="12"/>
  <c r="O172" i="12" s="1"/>
  <c r="K75" i="12"/>
  <c r="O75" i="12" s="1"/>
  <c r="K16" i="12"/>
  <c r="O16" i="12" s="1"/>
  <c r="K43" i="12"/>
  <c r="O43" i="12" s="1"/>
  <c r="K53" i="12"/>
  <c r="O53" i="12" s="1"/>
  <c r="K70" i="12"/>
  <c r="K228" i="12"/>
  <c r="K51" i="12"/>
  <c r="K105" i="12"/>
  <c r="K131" i="12"/>
  <c r="K29" i="12"/>
  <c r="O29" i="12" s="1"/>
  <c r="K190" i="12"/>
  <c r="O190" i="12" s="1"/>
  <c r="K208" i="12"/>
  <c r="O208" i="12" s="1"/>
  <c r="K10" i="12"/>
  <c r="K40" i="12"/>
  <c r="O40" i="12" s="1"/>
  <c r="K138" i="12"/>
  <c r="O138" i="12" s="1"/>
  <c r="K89" i="12"/>
  <c r="O89" i="12" s="1"/>
  <c r="K141" i="12"/>
  <c r="K26" i="12"/>
  <c r="K90" i="12"/>
  <c r="K129" i="12"/>
  <c r="K84" i="12"/>
  <c r="K63" i="12"/>
  <c r="K33" i="12"/>
  <c r="O33" i="12" s="1"/>
  <c r="K98" i="12"/>
  <c r="O98" i="12" s="1"/>
  <c r="K7" i="12"/>
  <c r="O7" i="12" s="1"/>
  <c r="K19" i="12"/>
  <c r="O19" i="12" s="1"/>
  <c r="K66" i="12"/>
  <c r="O66" i="12" s="1"/>
  <c r="K183" i="12"/>
  <c r="O183" i="12" s="1"/>
  <c r="K46" i="12"/>
  <c r="K147" i="12"/>
  <c r="K201" i="12"/>
  <c r="K236" i="12"/>
  <c r="K229" i="12"/>
  <c r="K193" i="12"/>
  <c r="O193" i="12" s="1"/>
  <c r="K2" i="12"/>
  <c r="O2" i="12" s="1"/>
  <c r="K64" i="12"/>
  <c r="O64" i="12" s="1"/>
  <c r="K221" i="12"/>
  <c r="O221" i="12" s="1"/>
  <c r="K122" i="12"/>
  <c r="O122" i="12" s="1"/>
  <c r="K175" i="12"/>
  <c r="O175" i="12" s="1"/>
  <c r="K177" i="12"/>
  <c r="O177" i="12" s="1"/>
  <c r="K117" i="12"/>
  <c r="K111" i="12"/>
  <c r="K76" i="12"/>
  <c r="K164" i="12"/>
  <c r="K114" i="12"/>
  <c r="K207" i="12"/>
  <c r="O207" i="12" s="1"/>
  <c r="K39" i="12"/>
  <c r="K237" i="12"/>
  <c r="K109" i="12"/>
  <c r="O109" i="12" s="1"/>
  <c r="K171" i="12"/>
  <c r="O171" i="12" s="1"/>
  <c r="K194" i="12"/>
  <c r="O194" i="12" s="1"/>
  <c r="K57" i="12"/>
  <c r="O57" i="12" s="1"/>
  <c r="K255" i="12"/>
  <c r="K143" i="12"/>
  <c r="C20" i="12" s="1"/>
  <c r="K200" i="12"/>
  <c r="K92" i="12"/>
  <c r="K134" i="12"/>
  <c r="K232" i="12"/>
  <c r="K188" i="12"/>
  <c r="O188" i="12" s="1"/>
  <c r="K101" i="12"/>
  <c r="O101" i="12" s="1"/>
  <c r="K110" i="12"/>
  <c r="O110" i="12" s="1"/>
  <c r="K79" i="12"/>
  <c r="O79" i="12" s="1"/>
  <c r="K72" i="12"/>
  <c r="O72" i="12" s="1"/>
  <c r="K145" i="12"/>
  <c r="O145" i="12" s="1"/>
  <c r="K20" i="12"/>
  <c r="K14" i="12"/>
  <c r="K230" i="12"/>
  <c r="K93" i="12"/>
  <c r="K88" i="12"/>
  <c r="K50" i="12"/>
  <c r="K61" i="12"/>
  <c r="O61" i="12" s="1"/>
  <c r="K45" i="12"/>
  <c r="O45" i="12" s="1"/>
  <c r="K28" i="12"/>
  <c r="O28" i="12" s="1"/>
  <c r="K56" i="12"/>
  <c r="O56" i="12" s="1"/>
  <c r="K181" i="12"/>
  <c r="O181" i="12" s="1"/>
  <c r="K169" i="12"/>
  <c r="O169" i="12" s="1"/>
  <c r="K44" i="12"/>
  <c r="K205" i="12"/>
  <c r="K148" i="12"/>
  <c r="K176" i="12"/>
  <c r="K224" i="12"/>
  <c r="K115" i="12"/>
  <c r="K161" i="12"/>
  <c r="O161" i="12" s="1"/>
  <c r="K119" i="12"/>
  <c r="O119" i="12" s="1"/>
  <c r="K54" i="12"/>
  <c r="O54" i="12" s="1"/>
  <c r="K86" i="12"/>
  <c r="O86" i="12" s="1"/>
  <c r="K220" i="12"/>
  <c r="O220" i="12" s="1"/>
  <c r="K178" i="12"/>
  <c r="O178" i="12" s="1"/>
  <c r="K120" i="12"/>
  <c r="K81" i="12"/>
  <c r="K241" i="12"/>
  <c r="K116" i="12"/>
  <c r="K112" i="12"/>
  <c r="K126" i="12"/>
  <c r="O126" i="12" s="1"/>
  <c r="K67" i="12"/>
  <c r="O67" i="12" s="1"/>
  <c r="K174" i="12"/>
  <c r="O174" i="12" s="1"/>
  <c r="K158" i="12"/>
  <c r="O158" i="12" s="1"/>
  <c r="K48" i="12"/>
  <c r="O48" i="12" s="1"/>
  <c r="K25" i="12"/>
  <c r="O25" i="12" s="1"/>
  <c r="K211" i="12"/>
  <c r="O211" i="12" s="1"/>
  <c r="K157" i="12"/>
  <c r="K32" i="12"/>
  <c r="O32" i="12" s="1"/>
  <c r="K99" i="12"/>
  <c r="K156" i="12"/>
  <c r="K132" i="12"/>
  <c r="K21" i="12"/>
  <c r="O21" i="12" s="1"/>
  <c r="K185" i="12"/>
  <c r="K152" i="12"/>
  <c r="O152" i="12" s="1"/>
  <c r="K140" i="12"/>
  <c r="O140" i="12" s="1"/>
  <c r="K31" i="12"/>
  <c r="O31" i="12" s="1"/>
  <c r="K136" i="12"/>
  <c r="O136" i="12" s="1"/>
  <c r="K97" i="12"/>
  <c r="O97" i="12" s="1"/>
  <c r="K27" i="12"/>
  <c r="K107" i="12"/>
  <c r="K170" i="12"/>
  <c r="K37" i="12"/>
  <c r="K218" i="12"/>
  <c r="K216" i="12"/>
  <c r="O216" i="12" s="1"/>
  <c r="K235" i="12"/>
  <c r="O235" i="12" s="1"/>
  <c r="K180" i="12"/>
  <c r="O180" i="12" s="1"/>
  <c r="K74" i="12"/>
  <c r="O74" i="12" s="1"/>
  <c r="K244" i="12"/>
  <c r="O244" i="12" s="1"/>
  <c r="K13" i="12"/>
  <c r="O13" i="12" s="1"/>
  <c r="K17" i="12"/>
  <c r="O17" i="12" s="1"/>
  <c r="K12" i="12"/>
  <c r="K125" i="12"/>
  <c r="K195" i="12"/>
  <c r="K133" i="12"/>
  <c r="K8" i="12"/>
  <c r="K257" i="12"/>
  <c r="K263" i="12"/>
  <c r="K248" i="12"/>
  <c r="O248" i="12" s="1"/>
  <c r="K249" i="12"/>
  <c r="O249" i="12" s="1"/>
  <c r="K251" i="12"/>
  <c r="O251" i="12" s="1"/>
  <c r="K259" i="12"/>
  <c r="O259" i="12" s="1"/>
  <c r="K261" i="12"/>
  <c r="O261" i="12" s="1"/>
  <c r="K253" i="12"/>
  <c r="O253" i="12" s="1"/>
  <c r="K254" i="12"/>
  <c r="O254" i="12" s="1"/>
  <c r="K247" i="12"/>
  <c r="O247" i="12" s="1"/>
  <c r="K264" i="12"/>
  <c r="O264" i="12" s="1"/>
  <c r="K260" i="12"/>
  <c r="O260" i="12" s="1"/>
  <c r="K245" i="12"/>
  <c r="O245" i="12" s="1"/>
  <c r="K250" i="12"/>
  <c r="K246" i="12"/>
  <c r="O246" i="12" s="1"/>
  <c r="K262" i="12"/>
  <c r="O262" i="12" s="1"/>
  <c r="K252" i="12"/>
  <c r="O252" i="12" s="1"/>
  <c r="K256" i="12"/>
  <c r="O256" i="12" s="1"/>
  <c r="K258" i="12"/>
  <c r="O258" i="12" s="1"/>
  <c r="K266" i="12"/>
  <c r="O255" i="12"/>
  <c r="K265" i="12"/>
  <c r="O265" i="12" s="1"/>
  <c r="K268" i="12"/>
  <c r="O268" i="12" s="1"/>
  <c r="K267" i="12"/>
  <c r="O267" i="12" s="1"/>
  <c r="O114" i="12"/>
  <c r="O103" i="12"/>
  <c r="O106" i="12"/>
  <c r="O39" i="12"/>
  <c r="O82" i="12"/>
  <c r="O159" i="12"/>
  <c r="O202" i="12"/>
  <c r="O44" i="12"/>
  <c r="O234" i="12"/>
  <c r="O99" i="12"/>
  <c r="O22" i="12"/>
  <c r="O105" i="12"/>
  <c r="O80" i="12"/>
  <c r="O226" i="12"/>
  <c r="O162" i="12"/>
  <c r="O18" i="12"/>
  <c r="O116" i="12"/>
  <c r="O15" i="12"/>
  <c r="O58" i="12"/>
  <c r="O102" i="12"/>
  <c r="O121" i="12"/>
  <c r="O215" i="12"/>
  <c r="O8" i="12"/>
  <c r="O149" i="12"/>
  <c r="O229" i="12"/>
  <c r="O130" i="12"/>
  <c r="O199" i="12"/>
  <c r="O191" i="12"/>
  <c r="O26" i="12"/>
  <c r="O34" i="12"/>
  <c r="O153" i="12"/>
  <c r="O141" i="12"/>
  <c r="O41" i="12"/>
  <c r="O81" i="12"/>
  <c r="O184" i="12"/>
  <c r="O84" i="12"/>
  <c r="O224" i="12"/>
  <c r="O24" i="12"/>
  <c r="O68" i="12"/>
  <c r="O135" i="12"/>
  <c r="O179" i="12"/>
  <c r="O167" i="12"/>
  <c r="O151" i="12"/>
  <c r="O59" i="12"/>
  <c r="O60" i="12"/>
  <c r="O95" i="12"/>
  <c r="O129" i="12"/>
  <c r="O128" i="12"/>
  <c r="O139" i="12"/>
  <c r="O90" i="12"/>
  <c r="O182" i="12"/>
  <c r="O83" i="12"/>
  <c r="O166" i="12"/>
  <c r="O117" i="12"/>
  <c r="O104" i="12"/>
  <c r="O55" i="12"/>
  <c r="O218" i="12"/>
  <c r="O228" i="12"/>
  <c r="O77" i="12"/>
  <c r="O214" i="12"/>
  <c r="O49" i="12"/>
  <c r="O232" i="12"/>
  <c r="O239" i="12"/>
  <c r="O168" i="12"/>
  <c r="O189" i="12"/>
  <c r="O165" i="12"/>
  <c r="O36" i="12"/>
  <c r="O71" i="12"/>
  <c r="O46" i="12"/>
  <c r="O93" i="12"/>
  <c r="O92" i="12"/>
  <c r="O241" i="12"/>
  <c r="O147" i="12"/>
  <c r="O12" i="12"/>
  <c r="O47" i="12"/>
  <c r="O10" i="12"/>
  <c r="O269" i="12"/>
  <c r="O123" i="12"/>
  <c r="O108" i="12"/>
  <c r="O35" i="12"/>
  <c r="O134" i="12"/>
  <c r="O242" i="12"/>
  <c r="O14" i="12"/>
  <c r="O257" i="12"/>
  <c r="O160" i="12"/>
  <c r="O87" i="12"/>
  <c r="O263" i="12"/>
  <c r="O23" i="12"/>
  <c r="O85" i="12"/>
  <c r="O223" i="12"/>
  <c r="O233" i="12"/>
  <c r="O148" i="12"/>
  <c r="O120" i="12"/>
  <c r="O62" i="12"/>
  <c r="O132" i="12"/>
  <c r="O227" i="12"/>
  <c r="O250" i="12"/>
  <c r="O187" i="12"/>
  <c r="O150" i="12"/>
  <c r="O203" i="12"/>
  <c r="O238" i="12"/>
  <c r="O201" i="12"/>
  <c r="O236" i="12"/>
  <c r="O65" i="12"/>
  <c r="O20" i="12"/>
  <c r="O196" i="12"/>
  <c r="O156" i="12"/>
  <c r="O78" i="12"/>
  <c r="O5" i="12"/>
  <c r="O63" i="12"/>
  <c r="O52" i="12"/>
  <c r="O217" i="12"/>
  <c r="O230" i="12"/>
  <c r="O155" i="12"/>
  <c r="O11" i="12"/>
  <c r="O154" i="12"/>
  <c r="O69" i="12"/>
  <c r="O212" i="12"/>
  <c r="O146" i="12"/>
  <c r="O127" i="12"/>
  <c r="O197" i="12"/>
  <c r="O38" i="12"/>
  <c r="O124" i="12"/>
  <c r="O243" i="12"/>
  <c r="O51" i="12"/>
  <c r="O209" i="12"/>
  <c r="O170" i="12"/>
  <c r="O143" i="12"/>
  <c r="O206" i="12"/>
  <c r="O142" i="12"/>
  <c r="O200" i="12"/>
  <c r="O115" i="12"/>
  <c r="O222" i="12"/>
  <c r="O185" i="12"/>
  <c r="O205" i="12"/>
  <c r="O112" i="12"/>
  <c r="O231" i="12"/>
  <c r="O27" i="12"/>
  <c r="O192" i="12"/>
  <c r="O111" i="12"/>
  <c r="O240" i="12"/>
  <c r="O131" i="12"/>
  <c r="O50" i="12"/>
  <c r="O118" i="12"/>
  <c r="D20" i="12"/>
  <c r="BF27" i="9" s="1"/>
  <c r="AC27" i="9" s="1"/>
  <c r="O176" i="12"/>
  <c r="O37" i="12"/>
  <c r="O91" i="12"/>
  <c r="O210" i="12"/>
  <c r="O42" i="12"/>
  <c r="O137" i="12"/>
  <c r="O100" i="12"/>
  <c r="O219" i="12"/>
  <c r="O3" i="12"/>
  <c r="O144" i="12"/>
  <c r="O133" i="12"/>
  <c r="O157" i="12"/>
  <c r="O94" i="12"/>
  <c r="O225" i="12"/>
  <c r="O164" i="12"/>
  <c r="O198" i="12"/>
  <c r="O30" i="12"/>
  <c r="O125" i="12"/>
  <c r="O204" i="12"/>
  <c r="O88" i="12"/>
  <c r="O195" i="12"/>
  <c r="O96" i="12"/>
  <c r="O73" i="12"/>
  <c r="O107" i="12"/>
  <c r="O70" i="12"/>
  <c r="O9" i="12"/>
  <c r="O186" i="12"/>
  <c r="O6" i="12"/>
  <c r="O113" i="12"/>
  <c r="O76" i="12"/>
  <c r="D24" i="12"/>
  <c r="BF31" i="9" s="1"/>
  <c r="AC31" i="9" s="1"/>
  <c r="D23" i="12"/>
  <c r="BF30" i="9" s="1"/>
  <c r="O266" i="12"/>
  <c r="D22" i="12"/>
  <c r="BF29" i="9" s="1"/>
  <c r="AC29" i="9" s="1"/>
  <c r="I2" i="12"/>
  <c r="N2" i="12" s="1"/>
  <c r="O163" i="12"/>
  <c r="O4" i="12"/>
  <c r="O213" i="12"/>
  <c r="O173" i="12"/>
  <c r="BG18" i="9"/>
  <c r="BG14" i="9"/>
  <c r="C21" i="12" l="1"/>
  <c r="D21" i="12" s="1"/>
  <c r="BF28" i="9" s="1"/>
  <c r="O237" i="12"/>
  <c r="C28" i="12"/>
  <c r="BL28" i="9" s="1"/>
  <c r="C27" i="12"/>
  <c r="BL27" i="9" s="1"/>
  <c r="AK27" i="9"/>
  <c r="AK29" i="9"/>
  <c r="AK31" i="9"/>
  <c r="BE31" i="9" s="1"/>
  <c r="AO31" i="9" s="1"/>
  <c r="BH15" i="9"/>
  <c r="BH16" i="9"/>
  <c r="BH17" i="9"/>
  <c r="BH18" i="9"/>
  <c r="BH14" i="9"/>
  <c r="BG17" i="9"/>
  <c r="BG16" i="9"/>
  <c r="AC30" i="9"/>
  <c r="BG23" i="9"/>
  <c r="AC28" i="9" l="1"/>
  <c r="AK28" i="9" s="1"/>
  <c r="AK30" i="9"/>
  <c r="BE30" i="9" s="1"/>
  <c r="AO30" i="9" s="1"/>
  <c r="BG30" i="9"/>
  <c r="BH30" i="9" s="1"/>
  <c r="BG31" i="9"/>
  <c r="BH31" i="9" s="1"/>
  <c r="BN30" i="9"/>
  <c r="BG29" i="9"/>
  <c r="BH29" i="9" s="1"/>
  <c r="BE29" i="9" s="1"/>
  <c r="AO29" i="9" s="1"/>
  <c r="BN29" i="9"/>
  <c r="BK18" i="9"/>
  <c r="BK16" i="9"/>
  <c r="BG28" i="9" l="1"/>
  <c r="BH28" i="9" s="1"/>
  <c r="BN28" i="9"/>
  <c r="BG34" i="9" s="1"/>
  <c r="BE28" i="9"/>
  <c r="AO28" i="9" s="1"/>
  <c r="BG27" i="9"/>
  <c r="BH27" i="9" s="1"/>
  <c r="BE27" i="9" s="1"/>
  <c r="AO27" i="9" s="1"/>
  <c r="BN27" i="9"/>
  <c r="BK15" i="9"/>
  <c r="AO32" i="9" l="1"/>
  <c r="BG33" i="9"/>
  <c r="O4" i="11"/>
  <c r="K4" i="11"/>
  <c r="B10" i="11" l="1"/>
  <c r="F2" i="11"/>
  <c r="J3" i="11" s="1"/>
  <c r="F7" i="11"/>
  <c r="N5" i="11" s="1"/>
  <c r="BK17" i="9"/>
  <c r="BK14" i="9"/>
  <c r="F4" i="11" l="1"/>
  <c r="F3" i="11"/>
  <c r="J4" i="11" s="1"/>
  <c r="B11" i="11"/>
  <c r="BI14" i="9" l="1"/>
  <c r="BI18" i="9"/>
  <c r="BI17" i="9"/>
  <c r="BI16" i="9"/>
  <c r="BI15" i="9"/>
  <c r="J5" i="11"/>
  <c r="Y17" i="9"/>
  <c r="F6" i="11"/>
  <c r="BF17" i="9" s="1"/>
  <c r="F5" i="11"/>
  <c r="BJ18" i="9" s="1"/>
  <c r="BF14" i="9" l="1"/>
  <c r="BF15" i="9"/>
  <c r="N4" i="11"/>
  <c r="BJ14" i="9"/>
  <c r="BJ17" i="9"/>
  <c r="BJ16" i="9"/>
  <c r="BJ15" i="9"/>
  <c r="N3" i="11"/>
  <c r="BF18" i="9" l="1"/>
  <c r="BF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tc={A9C7EE6B-5C7D-4B5D-9106-E1A94AC1F10B}</author>
    <author>tc={E46A777C-A78F-43AB-8A38-91B11EE08028}</author>
  </authors>
  <commentList>
    <comment ref="BB11" authorId="0" shapeId="0" xr:uid="{A9C7EE6B-5C7D-4B5D-9106-E1A94AC1F10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(0,33 %/s bis 0,66 %/s von Pinst)</t>
      </text>
    </comment>
    <comment ref="BE27" authorId="1" shapeId="0" xr:uid="{E46A777C-A78F-43AB-8A38-91B11EE0802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max. 2% bei ≥ 0,3 MVA, sonst max.  4% Abweichung bei Blindleistungsregelung, gesonderte Überprüfung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tc={81521D4B-119B-4A39-8255-93EF17E8998B}</author>
    <author>tc={CB56DB8A-6970-4450-A9A5-07649A1F2A74}</author>
    <author>tc={6E463F80-1FB5-463D-9291-257EEA38A3F7}</author>
    <author>tc={8836300F-F388-4193-8026-85017F9AD93C}</author>
    <author>tc={11DB429F-EB07-485A-A9B3-8D3721170DEA}</author>
    <author>tc={E2D499C3-8CFA-4774-8D7A-62822A3730C0}</author>
  </authors>
  <commentList>
    <comment ref="I1" authorId="0" shapeId="0" xr:uid="{81521D4B-119B-4A39-8255-93EF17E8998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blaue Linie Links</t>
      </text>
    </comment>
    <comment ref="M1" authorId="1" shapeId="0" xr:uid="{CB56DB8A-6970-4450-A9A5-07649A1F2A7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Blaue Linie Rechts</t>
      </text>
    </comment>
    <comment ref="A2" authorId="2" shapeId="0" xr:uid="{6E463F80-1FB5-463D-9291-257EEA38A3F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x-Werte der Kennlinien für die Knickpunkte im 20 kV Netz 
(siehe TAB S. 51)</t>
      </text>
    </comment>
    <comment ref="A6" authorId="3" shapeId="0" xr:uid="{8836300F-F388-4193-8026-85017F9AD93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Region 21,6 bzw. 21,8 kV
(autom. aus Protokoll_neu generiert)</t>
      </text>
    </comment>
    <comment ref="A7" authorId="4" shapeId="0" xr:uid="{11DB429F-EB07-485A-A9B3-8D3721170DE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Begrenzung der Blindleistung nach oben und unten VDE S. 51</t>
      </text>
    </comment>
    <comment ref="A10" authorId="5" shapeId="0" xr:uid="{E2D499C3-8CFA-4774-8D7A-62822A3730C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Knickpunkte der Kennlinien im 20 kV Netz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tc={7FFB52C7-72A3-4B67-88C0-E13186DD3511}</author>
    <author>tc={0E634C02-CCA3-4288-B047-FDB1BEAC037A}</author>
    <author>tc={AF389EF0-CF02-46EC-B1D5-0F9FD1457591}</author>
    <author>tc={4BCD7D85-8C14-4802-885A-1482C6F2D4FA}</author>
  </authors>
  <commentList>
    <comment ref="A20" authorId="0" shapeId="0" xr:uid="{7FFB52C7-72A3-4B67-88C0-E13186DD351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U-Wert nach der Regelung</t>
      </text>
    </comment>
    <comment ref="C20" authorId="1" shapeId="0" xr:uid="{0E634C02-CCA3-4288-B047-FDB1BEAC037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zugehörige Blindleistungswerte werden aus Spalten E-J gesucht, in Abhängigkeit der Spannung nach der Regelung</t>
      </text>
    </comment>
    <comment ref="A27" authorId="2" shapeId="0" xr:uid="{AF389EF0-CF02-46EC-B1D5-0F9FD145759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U-Wert vor der Regelung</t>
      </text>
    </comment>
    <comment ref="C27" authorId="3" shapeId="0" xr:uid="{4BCD7D85-8C14-4802-885A-1482C6F2D4F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zugehörige Blindleistungswerte werden aus Spalten E-J gesucht, in Abhängigkeit der Spannung vor der Regelung</t>
      </text>
    </comment>
  </commentList>
</comments>
</file>

<file path=xl/sharedStrings.xml><?xml version="1.0" encoding="utf-8"?>
<sst xmlns="http://schemas.openxmlformats.org/spreadsheetml/2006/main" count="193" uniqueCount="156">
  <si>
    <t>Current Status</t>
  </si>
  <si>
    <t>Stop</t>
  </si>
  <si>
    <t>1. Kunden-/Anlagendaten</t>
  </si>
  <si>
    <t>Start Time</t>
  </si>
  <si>
    <t>Anlagenname</t>
  </si>
  <si>
    <t>Anlagenbetreiber</t>
  </si>
  <si>
    <t>Now</t>
  </si>
  <si>
    <t>Angeschlossen an</t>
  </si>
  <si>
    <t>Anschlussvariante</t>
  </si>
  <si>
    <t>Mittelspannungs-Netzanschluss</t>
  </si>
  <si>
    <t>Typ: laut VDE-AR-N 4110</t>
  </si>
  <si>
    <t>Difference</t>
  </si>
  <si>
    <t>Energieart</t>
  </si>
  <si>
    <r>
      <t xml:space="preserve">Inst. Leistung 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Inst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</si>
  <si>
    <t>MW</t>
  </si>
  <si>
    <t>Wert U&gt;Schutz</t>
  </si>
  <si>
    <t>MVA</t>
  </si>
  <si>
    <t>2. Funktionsprüfung Wirkleistungsanpassung</t>
  </si>
  <si>
    <t>Sollwertvorgabe</t>
  </si>
  <si>
    <t>Sollwert rechnerisch</t>
  </si>
  <si>
    <t>vor der Regelung</t>
  </si>
  <si>
    <r>
      <t xml:space="preserve">nach der Regelung 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</si>
  <si>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t>Wirkleistungsregelung</t>
  </si>
  <si>
    <t>Kommentar</t>
  </si>
  <si>
    <t>Zeitvorgabe Wirkleistungsregelung</t>
  </si>
  <si>
    <r>
      <t>(% von P</t>
    </r>
    <r>
      <rPr>
        <b/>
        <vertAlign val="subscript"/>
        <sz val="8"/>
        <color theme="1"/>
        <rFont val="Calibri"/>
        <family val="2"/>
        <scheme val="minor"/>
      </rPr>
      <t>Inst</t>
    </r>
    <r>
      <rPr>
        <b/>
        <sz val="11"/>
        <color theme="1"/>
        <rFont val="Calibri"/>
        <family val="2"/>
        <scheme val="minor"/>
      </rPr>
      <t>)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</si>
  <si>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Soll</t>
    </r>
    <r>
      <rPr>
        <b/>
        <sz val="11"/>
        <color theme="1"/>
        <rFont val="Calibri"/>
        <family val="2"/>
        <scheme val="minor"/>
      </rPr>
      <t xml:space="preserve"> [MW]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</si>
  <si>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akt</t>
    </r>
    <r>
      <rPr>
        <b/>
        <sz val="11"/>
        <color theme="1"/>
        <rFont val="Calibri"/>
        <family val="2"/>
        <scheme val="minor"/>
      </rPr>
      <t xml:space="preserve"> [MW]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</si>
  <si>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verfügbar</t>
    </r>
    <r>
      <rPr>
        <b/>
        <sz val="11"/>
        <color theme="1"/>
        <rFont val="Calibri"/>
        <family val="2"/>
        <scheme val="minor"/>
      </rPr>
      <t xml:space="preserve"> [MW]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</si>
  <si>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akt</t>
    </r>
    <r>
      <rPr>
        <b/>
        <sz val="11"/>
        <color theme="1"/>
        <rFont val="Calibri"/>
        <family val="2"/>
        <scheme val="minor"/>
      </rPr>
      <t>/P</t>
    </r>
    <r>
      <rPr>
        <b/>
        <vertAlign val="subscript"/>
        <sz val="11"/>
        <color theme="1"/>
        <rFont val="Calibri"/>
        <family val="2"/>
        <scheme val="minor"/>
      </rPr>
      <t>inst</t>
    </r>
    <r>
      <rPr>
        <b/>
        <sz val="11"/>
        <color theme="1"/>
        <rFont val="Calibri"/>
        <family val="2"/>
        <scheme val="minor"/>
      </rPr>
      <t xml:space="preserve"> [%]</t>
    </r>
  </si>
  <si>
    <r>
      <t xml:space="preserve">ΔP [%] </t>
    </r>
    <r>
      <rPr>
        <b/>
        <vertAlign val="superscript"/>
        <sz val="11"/>
        <color theme="1"/>
        <rFont val="Calibri"/>
        <family val="2"/>
        <scheme val="minor"/>
      </rPr>
      <t>2)</t>
    </r>
  </si>
  <si>
    <r>
      <t>Prüfung P</t>
    </r>
    <r>
      <rPr>
        <b/>
        <vertAlign val="superscript"/>
        <sz val="11"/>
        <color theme="1"/>
        <rFont val="Calibri"/>
        <family val="2"/>
        <scheme val="minor"/>
      </rPr>
      <t xml:space="preserve"> 3)</t>
    </r>
  </si>
  <si>
    <t>"müsste Meldung kommen"</t>
  </si>
  <si>
    <t>Q_ind_max</t>
  </si>
  <si>
    <t>Q_kap_max</t>
  </si>
  <si>
    <t>Q(U)min</t>
  </si>
  <si>
    <t>Qakt berech Anlagevermögen[MVAr]</t>
  </si>
  <si>
    <t>Prüfung Q</t>
  </si>
  <si>
    <t>-</t>
  </si>
  <si>
    <t>min*</t>
  </si>
  <si>
    <t>max*</t>
  </si>
  <si>
    <t>#=WENN(ODER(ABS(AK26)&gt;0,05;BB14="Obergrenze";BB14="Untergrenze");"erfolglos";"erfolgreich")</t>
  </si>
  <si>
    <t xml:space="preserve">gesamte Funktionsprüfung Wirkleistungsanpassung   </t>
  </si>
  <si>
    <t>*Angaben in Minuten</t>
  </si>
  <si>
    <r>
      <t xml:space="preserve">nach der Regelung </t>
    </r>
    <r>
      <rPr>
        <b/>
        <vertAlign val="superscript"/>
        <sz val="11"/>
        <color theme="1"/>
        <rFont val="Calibri"/>
        <family val="2"/>
        <scheme val="minor"/>
      </rPr>
      <t>4)</t>
    </r>
  </si>
  <si>
    <t>Blindleistungsregelung</t>
  </si>
  <si>
    <t>[MVAr]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</si>
  <si>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 xml:space="preserve">akt </t>
    </r>
    <r>
      <rPr>
        <b/>
        <sz val="11"/>
        <color theme="1"/>
        <rFont val="Calibri"/>
        <family val="2"/>
        <scheme val="minor"/>
      </rPr>
      <t>[MW]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</si>
  <si>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akt</t>
    </r>
    <r>
      <rPr>
        <b/>
        <sz val="11"/>
        <color theme="1"/>
        <rFont val="Calibri"/>
        <family val="2"/>
        <scheme val="minor"/>
      </rPr>
      <t xml:space="preserve"> [MVAr]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</si>
  <si>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 xml:space="preserve">akt </t>
    </r>
    <r>
      <rPr>
        <b/>
        <sz val="11"/>
        <color theme="1"/>
        <rFont val="Calibri"/>
        <family val="2"/>
        <scheme val="minor"/>
      </rPr>
      <t>[kV]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</si>
  <si>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akt rech</t>
    </r>
    <r>
      <rPr>
        <b/>
        <sz val="11"/>
        <color theme="1"/>
        <rFont val="Calibri"/>
        <family val="2"/>
        <scheme val="minor"/>
      </rPr>
      <t xml:space="preserve"> [MVAr]</t>
    </r>
    <r>
      <rPr>
        <b/>
        <vertAlign val="superscript"/>
        <sz val="11"/>
        <color theme="1"/>
        <rFont val="Calibri"/>
        <family val="2"/>
        <scheme val="minor"/>
      </rPr>
      <t xml:space="preserve"> 5) </t>
    </r>
  </si>
  <si>
    <t>U-Grenze</t>
  </si>
  <si>
    <r>
      <t xml:space="preserve">ΔQ [%] </t>
    </r>
    <r>
      <rPr>
        <b/>
        <vertAlign val="superscript"/>
        <sz val="11"/>
        <color theme="1"/>
        <rFont val="Calibri"/>
        <family val="2"/>
        <scheme val="minor"/>
      </rPr>
      <t>6)</t>
    </r>
  </si>
  <si>
    <r>
      <t xml:space="preserve">Prüfung Q </t>
    </r>
    <r>
      <rPr>
        <b/>
        <vertAlign val="superscript"/>
        <sz val="11"/>
        <color theme="1"/>
        <rFont val="Calibri"/>
        <family val="2"/>
        <scheme val="minor"/>
      </rPr>
      <t>7)</t>
    </r>
  </si>
  <si>
    <t>Qmax</t>
  </si>
  <si>
    <t>Q(U)max, möglich</t>
  </si>
  <si>
    <t>gerundet</t>
  </si>
  <si>
    <t xml:space="preserve">kap. </t>
  </si>
  <si>
    <t>#=WENN($AC$6="Typ A: Q/PAV";Wertetabelle!C20;AC26)</t>
  </si>
  <si>
    <t>#=WENN($AC$6="Typ A: Q/PAV";Wertetabelle!C21;AC27)</t>
  </si>
  <si>
    <t>ind.</t>
  </si>
  <si>
    <t>#=WENN($AC$6="Typ A: Q/PAV";Wertetabelle!C22;AC28)</t>
  </si>
  <si>
    <t xml:space="preserve">gesamte Funktionsprüfung Blindeistungsanpassung   </t>
  </si>
  <si>
    <t>1) Zeitvorgabe (0,33% von Pinst) bis (0,66% Pinst) pro Sekunde</t>
  </si>
  <si>
    <t xml:space="preserve">2)  Psoll - Pakt/Pinst </t>
  </si>
  <si>
    <t>3) ΔP &lt; 5%</t>
  </si>
  <si>
    <r>
      <t>4) Regelung nach PT1-Verhalten mit 3</t>
    </r>
    <r>
      <rPr>
        <sz val="8"/>
        <color theme="1"/>
        <rFont val="Calibri"/>
        <family val="2"/>
      </rPr>
      <t>τ</t>
    </r>
    <r>
      <rPr>
        <sz val="6.8"/>
        <color theme="1"/>
        <rFont val="Calibri"/>
        <family val="2"/>
      </rPr>
      <t xml:space="preserve"> = 15s</t>
    </r>
  </si>
  <si>
    <t xml:space="preserve">5) rechn. Qakt in Abhängigkeit von Pakt und Typ der Blindleistungsbereitstellung </t>
  </si>
  <si>
    <t xml:space="preserve">6)  (Qsoll - Qakt)/Qinst </t>
  </si>
  <si>
    <r>
      <t xml:space="preserve">7) ΔQ </t>
    </r>
    <r>
      <rPr>
        <sz val="8"/>
        <color theme="1"/>
        <rFont val="Calibri"/>
        <family val="2"/>
      </rPr>
      <t>≤ 2% (bei S</t>
    </r>
    <r>
      <rPr>
        <vertAlign val="subscript"/>
        <sz val="8"/>
        <color theme="1"/>
        <rFont val="Calibri"/>
        <family val="2"/>
      </rPr>
      <t>Amax</t>
    </r>
    <r>
      <rPr>
        <sz val="8"/>
        <color theme="1"/>
        <rFont val="Calibri"/>
        <family val="2"/>
      </rPr>
      <t xml:space="preserve"> ≥ 300 kVA) bzw. ≤ 4% (bei S</t>
    </r>
    <r>
      <rPr>
        <vertAlign val="subscript"/>
        <sz val="8"/>
        <color theme="1"/>
        <rFont val="Calibri"/>
        <family val="2"/>
      </rPr>
      <t>Amax</t>
    </r>
    <r>
      <rPr>
        <sz val="8"/>
        <color theme="1"/>
        <rFont val="Calibri"/>
        <family val="2"/>
      </rPr>
      <t xml:space="preserve"> &lt; 300 kVA)</t>
    </r>
  </si>
  <si>
    <t>4. Bemerkung bzw. Fehlerbeschreibung bei Nichtbestehen der Funktionsprüfung</t>
  </si>
  <si>
    <t>Prüfer vor Ort:</t>
  </si>
  <si>
    <t>Datum:</t>
  </si>
  <si>
    <t>Bezeichnung</t>
  </si>
  <si>
    <t>Wert</t>
  </si>
  <si>
    <t>XY</t>
  </si>
  <si>
    <t>X</t>
  </si>
  <si>
    <t>Y</t>
  </si>
  <si>
    <t>P1</t>
  </si>
  <si>
    <t>P2-(3%Un)</t>
  </si>
  <si>
    <t>vorP2-3Un</t>
  </si>
  <si>
    <t>vorP3-3Un</t>
  </si>
  <si>
    <t>P2</t>
  </si>
  <si>
    <t>P2-3Un</t>
  </si>
  <si>
    <t>P3-3Un</t>
  </si>
  <si>
    <t>P3</t>
  </si>
  <si>
    <t>P2+(3%Un)</t>
  </si>
  <si>
    <t>P4</t>
  </si>
  <si>
    <t>P3-(3%Un)</t>
  </si>
  <si>
    <t>P2+3Un</t>
  </si>
  <si>
    <t>P3+3Un</t>
  </si>
  <si>
    <t>U&gt;</t>
  </si>
  <si>
    <t>nachP2+3Un</t>
  </si>
  <si>
    <t>nachP3+3Un</t>
  </si>
  <si>
    <t>Qmax unterer</t>
  </si>
  <si>
    <t>P3+(3%Un)</t>
  </si>
  <si>
    <t>Qmax überer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</si>
  <si>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</si>
  <si>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P2 + 3% U</t>
    </r>
    <r>
      <rPr>
        <vertAlign val="subscript"/>
        <sz val="11"/>
        <color theme="1"/>
        <rFont val="Calibri"/>
        <family val="2"/>
        <scheme val="minor"/>
      </rPr>
      <t>N</t>
    </r>
  </si>
  <si>
    <r>
      <t>P3 - 3% U</t>
    </r>
    <r>
      <rPr>
        <vertAlign val="subscript"/>
        <sz val="11"/>
        <color theme="1"/>
        <rFont val="Calibri"/>
        <family val="2"/>
        <scheme val="minor"/>
      </rPr>
      <t>N</t>
    </r>
  </si>
  <si>
    <t>Q [MVAr]</t>
  </si>
  <si>
    <t>Uakt [kV]</t>
  </si>
  <si>
    <t>Uakt gerundet</t>
  </si>
  <si>
    <t>MVAr (kap.) A</t>
  </si>
  <si>
    <t>Qind-Grenze</t>
  </si>
  <si>
    <t>MVAr (ind.) A</t>
  </si>
  <si>
    <t>Qkap-Grenze</t>
  </si>
  <si>
    <t>Qkap (Uakt.)</t>
  </si>
  <si>
    <t>MVAr (kap.) B</t>
  </si>
  <si>
    <t>MVAr (ind.) B</t>
  </si>
  <si>
    <t>PAV [MW]</t>
  </si>
  <si>
    <t>Pakt [MW]</t>
  </si>
  <si>
    <t>Un [kV]</t>
  </si>
  <si>
    <t>U1 [kV]</t>
  </si>
  <si>
    <t>U2 [kV]</t>
  </si>
  <si>
    <t>U2 + 3% Un [kV]</t>
  </si>
  <si>
    <t>U3 [kV]</t>
  </si>
  <si>
    <t>U4 [kV]</t>
  </si>
  <si>
    <t>U3 - 3% Un [kV]</t>
  </si>
  <si>
    <t>U&gt; [kV]</t>
  </si>
  <si>
    <t>3% Un [kV]</t>
  </si>
  <si>
    <t>U kap. 1</t>
  </si>
  <si>
    <t>U kap. 2</t>
  </si>
  <si>
    <t>U ind. 2</t>
  </si>
  <si>
    <t>U ind. 1</t>
  </si>
  <si>
    <t>U kap. 1, vor</t>
  </si>
  <si>
    <t>U kap. 2, vor</t>
  </si>
  <si>
    <t>U ind. 2, vor</t>
  </si>
  <si>
    <t>U ind. 1, vor</t>
  </si>
  <si>
    <t>Energieträger</t>
  </si>
  <si>
    <t>Blindleistungsverhalten</t>
  </si>
  <si>
    <t>Grenzwerte</t>
  </si>
  <si>
    <t>Region</t>
  </si>
  <si>
    <t>Scheinleistung</t>
  </si>
  <si>
    <t>Photovoltaik</t>
  </si>
  <si>
    <t>Hochspannung</t>
  </si>
  <si>
    <r>
      <t>Typ A: Q/P</t>
    </r>
    <r>
      <rPr>
        <vertAlign val="subscript"/>
        <sz val="11"/>
        <color theme="1"/>
        <rFont val="Calibri"/>
        <family val="2"/>
        <scheme val="minor"/>
      </rPr>
      <t>AV</t>
    </r>
  </si>
  <si>
    <t>Obergrenze</t>
  </si>
  <si>
    <t>&lt; 300</t>
  </si>
  <si>
    <t>Windkraft</t>
  </si>
  <si>
    <t>Mittelspannungs-Direktanschluss</t>
  </si>
  <si>
    <r>
      <t>Typ B: Q/P</t>
    </r>
    <r>
      <rPr>
        <vertAlign val="subscript"/>
        <sz val="11"/>
        <color theme="1"/>
        <rFont val="Calibri"/>
        <family val="2"/>
        <scheme val="minor"/>
      </rPr>
      <t>akt</t>
    </r>
  </si>
  <si>
    <t>Untergrenze</t>
  </si>
  <si>
    <t>≥ 300</t>
  </si>
  <si>
    <t>Biogas, Biomasse</t>
  </si>
  <si>
    <t>Wasserkraft</t>
  </si>
  <si>
    <t>Niederspannung</t>
  </si>
  <si>
    <t>Blockheizkraftwerk</t>
  </si>
  <si>
    <t>Sonstiges</t>
  </si>
  <si>
    <r>
      <t xml:space="preserve">Scheinleistung </t>
    </r>
    <r>
      <rPr>
        <sz val="11"/>
        <color theme="1"/>
        <rFont val="Calibri"/>
        <family val="2"/>
        <scheme val="minor"/>
      </rPr>
      <t>S</t>
    </r>
    <r>
      <rPr>
        <sz val="8"/>
        <color theme="1"/>
        <rFont val="Calibri"/>
        <family val="2"/>
        <scheme val="minor"/>
      </rPr>
      <t>Amax</t>
    </r>
  </si>
  <si>
    <r>
      <t>3. Funktionsprüfung Blindleistungsanpassung (Voraussetzung P</t>
    </r>
    <r>
      <rPr>
        <b/>
        <sz val="8"/>
        <color theme="1"/>
        <rFont val="Calibri"/>
        <family val="2"/>
        <scheme val="minor"/>
      </rPr>
      <t>akt</t>
    </r>
    <r>
      <rPr>
        <b/>
        <sz val="12"/>
        <color theme="1"/>
        <rFont val="Calibri"/>
        <family val="2"/>
        <scheme val="minor"/>
      </rPr>
      <t xml:space="preserve"> &gt; 20% P</t>
    </r>
    <r>
      <rPr>
        <b/>
        <sz val="8"/>
        <color theme="1"/>
        <rFont val="Calibri"/>
        <family val="2"/>
        <scheme val="minor"/>
      </rPr>
      <t>inst</t>
    </r>
    <r>
      <rPr>
        <b/>
        <sz val="12"/>
        <color theme="1"/>
        <rFont val="Calibri"/>
        <family val="2"/>
        <scheme val="minor"/>
      </rPr>
      <t>)</t>
    </r>
  </si>
  <si>
    <t>SR-ID</t>
  </si>
  <si>
    <t>Energieparknummer</t>
  </si>
  <si>
    <r>
      <t>Hinweis: Bei einem klassischen Einspeiser mit P</t>
    </r>
    <r>
      <rPr>
        <vertAlign val="subscript"/>
        <sz val="11"/>
        <color theme="1"/>
        <rFont val="Calibri"/>
        <family val="2"/>
        <scheme val="minor"/>
      </rPr>
      <t>AV,E</t>
    </r>
    <r>
      <rPr>
        <sz val="11"/>
        <color theme="1"/>
        <rFont val="Calibri"/>
        <family val="2"/>
        <scheme val="minor"/>
      </rPr>
      <t>-Überwachung (keine Mischanlage) muss P</t>
    </r>
    <r>
      <rPr>
        <vertAlign val="subscript"/>
        <sz val="11"/>
        <color theme="1"/>
        <rFont val="Calibri"/>
        <family val="2"/>
        <scheme val="minor"/>
      </rPr>
      <t xml:space="preserve">akt </t>
    </r>
    <r>
      <rPr>
        <sz val="11"/>
        <color theme="1"/>
        <rFont val="Calibri"/>
        <family val="2"/>
        <scheme val="minor"/>
      </rPr>
      <t>≤ P</t>
    </r>
    <r>
      <rPr>
        <vertAlign val="subscript"/>
        <sz val="11"/>
        <color theme="1"/>
        <rFont val="Calibri"/>
        <family val="2"/>
        <scheme val="minor"/>
      </rPr>
      <t>AV,E</t>
    </r>
    <r>
      <rPr>
        <sz val="11"/>
        <color theme="1"/>
        <rFont val="Calibri"/>
        <family val="2"/>
        <scheme val="minor"/>
      </rPr>
      <t xml:space="preserve"> sein</t>
    </r>
  </si>
  <si>
    <t>U ind. 0</t>
  </si>
  <si>
    <t>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</si>
</sst>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[$-F400]h:mm:ss\ AM/PM"/>
    <numFmt numFmtId="167" formatCode="##\ \k\V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</font>
    <font>
      <sz val="6.8"/>
      <color theme="1"/>
      <name val="Calibri"/>
      <family val="2"/>
    </font>
    <font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vertAlign val="subscript"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11"/>
      <color rgb="FF0070C0"/>
      <name val="Calibri (Textkörper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49" fontId="2" fillId="2" borderId="0" xfId="0" applyNumberFormat="1" applyFont="1" applyFill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1" fillId="2" borderId="0" xfId="0" applyFont="1" applyFill="1"/>
    <xf numFmtId="2" fontId="8" fillId="2" borderId="0" xfId="0" applyNumberFormat="1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/>
    </xf>
    <xf numFmtId="0" fontId="0" fillId="4" borderId="0" xfId="0" applyFill="1"/>
    <xf numFmtId="2" fontId="0" fillId="0" borderId="0" xfId="0" applyNumberFormat="1"/>
    <xf numFmtId="164" fontId="0" fillId="0" borderId="0" xfId="0" applyNumberFormat="1"/>
    <xf numFmtId="164" fontId="0" fillId="3" borderId="0" xfId="0" applyNumberFormat="1" applyFill="1"/>
    <xf numFmtId="0" fontId="1" fillId="5" borderId="0" xfId="0" applyFont="1" applyFill="1"/>
    <xf numFmtId="2" fontId="1" fillId="5" borderId="0" xfId="0" applyNumberFormat="1" applyFont="1" applyFill="1" applyAlignment="1">
      <alignment horizontal="left"/>
    </xf>
    <xf numFmtId="2" fontId="0" fillId="3" borderId="0" xfId="0" applyNumberFormat="1" applyFill="1"/>
    <xf numFmtId="0" fontId="0" fillId="3" borderId="1" xfId="0" applyFill="1" applyBorder="1"/>
    <xf numFmtId="2" fontId="0" fillId="3" borderId="1" xfId="0" applyNumberFormat="1" applyFill="1" applyBorder="1"/>
    <xf numFmtId="164" fontId="0" fillId="3" borderId="1" xfId="0" applyNumberFormat="1" applyFill="1" applyBorder="1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2" fontId="0" fillId="0" borderId="0" xfId="0" applyNumberFormat="1" applyAlignment="1">
      <alignment horizontal="right"/>
    </xf>
    <xf numFmtId="0" fontId="14" fillId="0" borderId="0" xfId="0" applyFont="1"/>
    <xf numFmtId="2" fontId="8" fillId="5" borderId="0" xfId="0" applyNumberFormat="1" applyFont="1" applyFill="1" applyAlignment="1" applyProtection="1">
      <alignment horizontal="center" vertical="center"/>
      <protection locked="0"/>
    </xf>
    <xf numFmtId="164" fontId="0" fillId="6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8" fillId="5" borderId="0" xfId="0" applyNumberFormat="1" applyFont="1" applyFill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22" fontId="0" fillId="0" borderId="0" xfId="0" applyNumberFormat="1" applyProtection="1"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6" fontId="0" fillId="5" borderId="0" xfId="0" applyNumberFormat="1" applyFill="1" applyAlignment="1" applyProtection="1">
      <alignment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1" fillId="5" borderId="11" xfId="0" applyNumberFormat="1" applyFont="1" applyFill="1" applyBorder="1" applyAlignment="1" applyProtection="1">
      <alignment horizontal="center" vertical="center"/>
      <protection locked="0"/>
    </xf>
    <xf numFmtId="45" fontId="0" fillId="5" borderId="12" xfId="0" applyNumberFormat="1" applyFill="1" applyBorder="1" applyAlignment="1" applyProtection="1">
      <alignment horizontal="center" vertical="center"/>
      <protection locked="0"/>
    </xf>
    <xf numFmtId="45" fontId="0" fillId="5" borderId="13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9" fontId="1" fillId="5" borderId="14" xfId="0" applyNumberFormat="1" applyFont="1" applyFill="1" applyBorder="1" applyAlignment="1" applyProtection="1">
      <alignment horizontal="center" vertical="center"/>
      <protection locked="0"/>
    </xf>
    <xf numFmtId="45" fontId="0" fillId="5" borderId="0" xfId="0" applyNumberFormat="1" applyFill="1" applyAlignment="1" applyProtection="1">
      <alignment horizontal="center" vertical="center"/>
      <protection locked="0"/>
    </xf>
    <xf numFmtId="45" fontId="0" fillId="5" borderId="15" xfId="0" applyNumberFormat="1" applyFill="1" applyBorder="1" applyAlignment="1" applyProtection="1">
      <alignment horizontal="center" vertical="center"/>
      <protection locked="0"/>
    </xf>
    <xf numFmtId="9" fontId="1" fillId="5" borderId="16" xfId="0" applyNumberFormat="1" applyFont="1" applyFill="1" applyBorder="1" applyAlignment="1" applyProtection="1">
      <alignment horizontal="center" vertical="center"/>
      <protection locked="0"/>
    </xf>
    <xf numFmtId="45" fontId="0" fillId="5" borderId="17" xfId="0" applyNumberFormat="1" applyFill="1" applyBorder="1" applyAlignment="1" applyProtection="1">
      <alignment horizontal="center" vertical="center"/>
      <protection locked="0"/>
    </xf>
    <xf numFmtId="45" fontId="0" fillId="5" borderId="18" xfId="0" applyNumberForma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6" fillId="5" borderId="0" xfId="0" applyFont="1" applyFill="1" applyProtection="1"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left" vertical="top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67" fontId="0" fillId="0" borderId="0" xfId="0" applyNumberFormat="1"/>
    <xf numFmtId="45" fontId="17" fillId="0" borderId="0" xfId="0" applyNumberFormat="1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2" fontId="8" fillId="2" borderId="2" xfId="0" applyNumberFormat="1" applyFont="1" applyFill="1" applyBorder="1" applyAlignment="1" applyProtection="1">
      <alignment horizontal="center" vertical="center"/>
      <protection locked="0"/>
    </xf>
    <xf numFmtId="2" fontId="8" fillId="2" borderId="3" xfId="0" applyNumberFormat="1" applyFont="1" applyFill="1" applyBorder="1" applyAlignment="1" applyProtection="1">
      <alignment horizontal="center" vertical="center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2" fontId="8" fillId="0" borderId="2" xfId="0" applyNumberFormat="1" applyFont="1" applyBorder="1" applyAlignment="1" applyProtection="1">
      <alignment horizontal="center" vertical="center"/>
      <protection locked="0"/>
    </xf>
    <xf numFmtId="2" fontId="8" fillId="0" borderId="3" xfId="0" applyNumberFormat="1" applyFont="1" applyBorder="1" applyAlignment="1" applyProtection="1">
      <alignment horizontal="center" vertical="center"/>
      <protection locked="0"/>
    </xf>
    <xf numFmtId="2" fontId="8" fillId="0" borderId="4" xfId="0" applyNumberFormat="1" applyFont="1" applyBorder="1" applyAlignment="1" applyProtection="1">
      <alignment horizontal="center" vertical="center"/>
      <protection locked="0"/>
    </xf>
    <xf numFmtId="164" fontId="8" fillId="6" borderId="2" xfId="1" applyNumberFormat="1" applyFont="1" applyFill="1" applyBorder="1" applyAlignment="1" applyProtection="1">
      <alignment horizontal="center" vertical="center"/>
      <protection locked="0"/>
    </xf>
    <xf numFmtId="164" fontId="8" fillId="6" borderId="3" xfId="1" applyNumberFormat="1" applyFont="1" applyFill="1" applyBorder="1" applyAlignment="1" applyProtection="1">
      <alignment horizontal="center" vertical="center"/>
      <protection locked="0"/>
    </xf>
    <xf numFmtId="164" fontId="8" fillId="6" borderId="4" xfId="1" applyNumberFormat="1" applyFont="1" applyFill="1" applyBorder="1" applyAlignment="1" applyProtection="1">
      <alignment horizontal="center" vertical="center"/>
      <protection locked="0"/>
    </xf>
    <xf numFmtId="164" fontId="8" fillId="0" borderId="2" xfId="1" applyNumberFormat="1" applyFont="1" applyBorder="1" applyAlignment="1" applyProtection="1">
      <alignment horizontal="center" vertical="center"/>
      <protection locked="0"/>
    </xf>
    <xf numFmtId="164" fontId="8" fillId="0" borderId="3" xfId="1" applyNumberFormat="1" applyFont="1" applyBorder="1" applyAlignment="1" applyProtection="1">
      <alignment horizontal="center" vertical="center"/>
      <protection locked="0"/>
    </xf>
    <xf numFmtId="164" fontId="8" fillId="0" borderId="4" xfId="1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65" fontId="0" fillId="2" borderId="2" xfId="0" applyNumberFormat="1" applyFill="1" applyBorder="1" applyAlignment="1" applyProtection="1">
      <alignment horizontal="center" vertical="center"/>
      <protection locked="0"/>
    </xf>
    <xf numFmtId="165" fontId="0" fillId="2" borderId="3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165" fontId="0" fillId="6" borderId="2" xfId="0" applyNumberFormat="1" applyFill="1" applyBorder="1" applyAlignment="1" applyProtection="1">
      <alignment horizontal="center" vertical="center"/>
      <protection locked="0"/>
    </xf>
    <xf numFmtId="165" fontId="0" fillId="6" borderId="3" xfId="0" applyNumberFormat="1" applyFill="1" applyBorder="1" applyAlignment="1" applyProtection="1">
      <alignment horizontal="center" vertical="center"/>
      <protection locked="0"/>
    </xf>
    <xf numFmtId="165" fontId="0" fillId="6" borderId="4" xfId="0" applyNumberFormat="1" applyFill="1" applyBorder="1" applyAlignment="1" applyProtection="1">
      <alignment horizontal="center" vertical="center"/>
      <protection locked="0"/>
    </xf>
    <xf numFmtId="165" fontId="1" fillId="6" borderId="2" xfId="1" applyNumberFormat="1" applyFont="1" applyFill="1" applyBorder="1" applyAlignment="1" applyProtection="1">
      <alignment horizontal="center" vertical="center"/>
    </xf>
    <xf numFmtId="165" fontId="1" fillId="6" borderId="3" xfId="1" applyNumberFormat="1" applyFont="1" applyFill="1" applyBorder="1" applyAlignment="1" applyProtection="1">
      <alignment horizontal="center" vertical="center"/>
    </xf>
    <xf numFmtId="165" fontId="1" fillId="6" borderId="4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0" borderId="5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6" xfId="1" applyNumberFormat="1" applyFont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right" vertical="center"/>
    </xf>
    <xf numFmtId="9" fontId="1" fillId="2" borderId="3" xfId="0" applyNumberFormat="1" applyFont="1" applyFill="1" applyBorder="1" applyAlignment="1">
      <alignment horizontal="right" vertical="center"/>
    </xf>
    <xf numFmtId="9" fontId="1" fillId="2" borderId="4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165" fontId="1" fillId="6" borderId="10" xfId="1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 applyProtection="1">
      <alignment horizontal="left" vertical="center"/>
      <protection locked="0"/>
    </xf>
    <xf numFmtId="2" fontId="10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1" fontId="8" fillId="2" borderId="3" xfId="0" applyNumberFormat="1" applyFont="1" applyFill="1" applyBorder="1" applyAlignment="1" applyProtection="1">
      <alignment horizontal="center" vertical="center"/>
      <protection locked="0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/>
    </xf>
    <xf numFmtId="165" fontId="0" fillId="2" borderId="10" xfId="0" applyNumberForma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8" fillId="0" borderId="2" xfId="1" applyNumberFormat="1" applyFont="1" applyBorder="1" applyAlignment="1" applyProtection="1">
      <alignment horizontal="center" vertical="center"/>
      <protection locked="0"/>
    </xf>
    <xf numFmtId="2" fontId="8" fillId="0" borderId="3" xfId="1" applyNumberFormat="1" applyFont="1" applyBorder="1" applyAlignment="1" applyProtection="1">
      <alignment horizontal="center" vertical="center"/>
      <protection locked="0"/>
    </xf>
    <xf numFmtId="2" fontId="8" fillId="0" borderId="4" xfId="1" applyNumberFormat="1" applyFont="1" applyBorder="1" applyAlignment="1" applyProtection="1">
      <alignment horizontal="center" vertical="center"/>
      <protection locked="0"/>
    </xf>
    <xf numFmtId="9" fontId="0" fillId="2" borderId="10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9" fontId="0" fillId="6" borderId="10" xfId="0" applyNumberForma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165" fontId="0" fillId="6" borderId="10" xfId="1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165" fontId="0" fillId="6" borderId="10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5" fontId="0" fillId="2" borderId="10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5" borderId="12" xfId="0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164" fontId="0" fillId="6" borderId="3" xfId="0" applyNumberForma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164" fontId="0" fillId="2" borderId="2" xfId="0" quotePrefix="1" applyNumberFormat="1" applyFill="1" applyBorder="1" applyAlignment="1">
      <alignment horizontal="center" vertical="center"/>
    </xf>
    <xf numFmtId="164" fontId="0" fillId="2" borderId="3" xfId="0" quotePrefix="1" applyNumberFormat="1" applyFill="1" applyBorder="1" applyAlignment="1">
      <alignment horizontal="center" vertical="center"/>
    </xf>
    <xf numFmtId="164" fontId="0" fillId="2" borderId="4" xfId="0" quotePrefix="1" applyNumberFormat="1" applyFill="1" applyBorder="1" applyAlignment="1">
      <alignment horizontal="center" vertical="center"/>
    </xf>
    <xf numFmtId="164" fontId="8" fillId="0" borderId="2" xfId="0" applyNumberFormat="1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0" fillId="6" borderId="2" xfId="0" applyNumberFormat="1" applyFill="1" applyBorder="1" applyAlignment="1">
      <alignment horizontal="center" vertical="center"/>
    </xf>
    <xf numFmtId="9" fontId="9" fillId="2" borderId="9" xfId="0" applyNumberFormat="1" applyFont="1" applyFill="1" applyBorder="1" applyAlignment="1">
      <alignment horizontal="center" vertical="center"/>
    </xf>
    <xf numFmtId="165" fontId="1" fillId="0" borderId="21" xfId="1" applyNumberFormat="1" applyFont="1" applyBorder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5" fontId="1" fillId="0" borderId="22" xfId="1" applyNumberFormat="1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1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2" fontId="10" fillId="2" borderId="2" xfId="0" applyNumberFormat="1" applyFont="1" applyFill="1" applyBorder="1" applyAlignment="1" applyProtection="1">
      <alignment horizontal="center" vertical="center"/>
      <protection locked="0"/>
    </xf>
    <xf numFmtId="2" fontId="10" fillId="2" borderId="3" xfId="0" applyNumberFormat="1" applyFont="1" applyFill="1" applyBorder="1" applyAlignment="1" applyProtection="1">
      <alignment horizontal="center" vertical="center"/>
      <protection locked="0"/>
    </xf>
    <xf numFmtId="2" fontId="10" fillId="2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Prozent" xfId="1" builtinId="5"/>
    <cellStyle name="Standard" xfId="0" builtinId="0"/>
  </cellStyles>
  <dxfs count="2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strike val="0"/>
        <color rgb="FF00B05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strike val="0"/>
        <color rgb="FF00B05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D9D9D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50802995952528E-2"/>
          <c:y val="1.3478566501878777E-2"/>
          <c:w val="0.92845657438354412"/>
          <c:h val="0.85900739788988489"/>
        </c:manualLayout>
      </c:layout>
      <c:scatterChart>
        <c:scatterStyle val="lineMarker"/>
        <c:varyColors val="0"/>
        <c:ser>
          <c:idx val="10"/>
          <c:order val="4"/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Diagram!$J$2:$J$6</c:f>
              <c:numCache>
                <c:formatCode>0.00</c:formatCode>
                <c:ptCount val="5"/>
                <c:pt idx="0">
                  <c:v>18</c:v>
                </c:pt>
                <c:pt idx="1">
                  <c:v>19</c:v>
                </c:pt>
                <c:pt idx="2">
                  <c:v>19.600000000000001</c:v>
                </c:pt>
                <c:pt idx="3">
                  <c:v>20.200000000000003</c:v>
                </c:pt>
                <c:pt idx="4">
                  <c:v>22</c:v>
                </c:pt>
              </c:numCache>
            </c:numRef>
          </c:xVal>
          <c:yVal>
            <c:numRef>
              <c:f>Diagram!$K$2:$K$6</c:f>
              <c:numCache>
                <c:formatCode>0.000</c:formatCode>
                <c:ptCount val="5"/>
                <c:pt idx="0">
                  <c:v>-0.29039999999999999</c:v>
                </c:pt>
                <c:pt idx="1">
                  <c:v>-0.29039999999999999</c:v>
                </c:pt>
                <c:pt idx="2" formatCode="General">
                  <c:v>0</c:v>
                </c:pt>
                <c:pt idx="3">
                  <c:v>0.29039999999999999</c:v>
                </c:pt>
                <c:pt idx="4">
                  <c:v>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56-401C-8939-9859C826361B}"/>
            </c:ext>
          </c:extLst>
        </c:ser>
        <c:ser>
          <c:idx val="11"/>
          <c:order val="5"/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Diagram!$N$2:$N$6</c:f>
              <c:numCache>
                <c:formatCode>0.00</c:formatCode>
                <c:ptCount val="5"/>
                <c:pt idx="0">
                  <c:v>18</c:v>
                </c:pt>
                <c:pt idx="1">
                  <c:v>20.399999999999999</c:v>
                </c:pt>
                <c:pt idx="2">
                  <c:v>21</c:v>
                </c:pt>
                <c:pt idx="3">
                  <c:v>21.6</c:v>
                </c:pt>
                <c:pt idx="4">
                  <c:v>22</c:v>
                </c:pt>
              </c:numCache>
            </c:numRef>
          </c:xVal>
          <c:yVal>
            <c:numRef>
              <c:f>Diagram!$O$2:$O$6</c:f>
              <c:numCache>
                <c:formatCode>0.000</c:formatCode>
                <c:ptCount val="5"/>
                <c:pt idx="0">
                  <c:v>-0.29039999999999999</c:v>
                </c:pt>
                <c:pt idx="1">
                  <c:v>-0.29039999999999999</c:v>
                </c:pt>
                <c:pt idx="2" formatCode="General">
                  <c:v>0</c:v>
                </c:pt>
                <c:pt idx="3">
                  <c:v>0.29039999999999999</c:v>
                </c:pt>
                <c:pt idx="4">
                  <c:v>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56-401C-8939-9859C826361B}"/>
            </c:ext>
          </c:extLst>
        </c:ser>
        <c:ser>
          <c:idx val="12"/>
          <c:order val="6"/>
          <c:tx>
            <c:strRef>
              <c:f>Diagram!$E$2</c:f>
              <c:strCache>
                <c:ptCount val="1"/>
                <c:pt idx="0">
                  <c:v>P2-(3%Un)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1.1501358261641054E-2"/>
                  <c:y val="2.7373827351496825E-2"/>
                </c:manualLayout>
              </c:layout>
              <c:tx>
                <c:rich>
                  <a:bodyPr/>
                  <a:lstStyle/>
                  <a:p>
                    <a:fld id="{F46D8450-F068-4F21-B150-72E9D21331BB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D28E45A0-FF4E-4755-BC12-EFA431831F4D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AF65461F-35F4-4626-9774-43CCC9BA0B73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956-401C-8939-9859C82636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de-DE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Diagram!$F$2</c:f>
              <c:numCache>
                <c:formatCode>0.00</c:formatCode>
                <c:ptCount val="1"/>
                <c:pt idx="0">
                  <c:v>19</c:v>
                </c:pt>
              </c:numCache>
            </c:numRef>
          </c:xVal>
          <c:yVal>
            <c:numRef>
              <c:f>Diagram!$G$2</c:f>
              <c:numCache>
                <c:formatCode>0.000</c:formatCode>
                <c:ptCount val="1"/>
                <c:pt idx="0">
                  <c:v>-0.29039999999999999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956-401C-8939-9859C826361B}"/>
            </c:ext>
          </c:extLst>
        </c:ser>
        <c:ser>
          <c:idx val="13"/>
          <c:order val="7"/>
          <c:tx>
            <c:strRef>
              <c:f>Diagram!$E$3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8.1625528043253268E-3"/>
                  <c:y val="-2.6504264856214443E-2"/>
                </c:manualLayout>
              </c:layout>
              <c:tx>
                <c:rich>
                  <a:bodyPr/>
                  <a:lstStyle/>
                  <a:p>
                    <a:fld id="{E17D65D7-4BF8-4054-87E5-DFA8D63AE7BC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ED4F154B-4204-45C0-B73C-99DCF2576F5C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0D14E175-5CB2-43FD-B1D7-CCEE347A8BF2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146-4EFE-A182-7BD25F1A95C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Diagram!$F$3</c:f>
              <c:numCache>
                <c:formatCode>0.00</c:formatCode>
                <c:ptCount val="1"/>
                <c:pt idx="0">
                  <c:v>19.600000000000001</c:v>
                </c:pt>
              </c:numCache>
            </c:numRef>
          </c:xVal>
          <c:yVal>
            <c:numRef>
              <c:f>Diagram!$G$3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956-401C-8939-9859C826361B}"/>
            </c:ext>
          </c:extLst>
        </c:ser>
        <c:ser>
          <c:idx val="14"/>
          <c:order val="8"/>
          <c:tx>
            <c:strRef>
              <c:f>Diagram!$E$4</c:f>
              <c:strCache>
                <c:ptCount val="1"/>
                <c:pt idx="0">
                  <c:v>P2+(3%Un)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2.4487658412977267E-3"/>
                  <c:y val="-3.2720593222490782E-2"/>
                </c:manualLayout>
              </c:layout>
              <c:tx>
                <c:rich>
                  <a:bodyPr/>
                  <a:lstStyle/>
                  <a:p>
                    <a:fld id="{85F43B4F-D084-4F17-BAE3-95B684D687E6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B5AFEB14-02AC-4370-BD58-CA530667A1C3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2ED7D5E8-07EE-42D8-A0F4-D14EB7083B6C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956-401C-8939-9859C82636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Diagram!$F$4</c:f>
              <c:numCache>
                <c:formatCode>0.00</c:formatCode>
                <c:ptCount val="1"/>
                <c:pt idx="0">
                  <c:v>20.200000000000003</c:v>
                </c:pt>
              </c:numCache>
            </c:numRef>
          </c:xVal>
          <c:yVal>
            <c:numRef>
              <c:f>Diagram!$G$4</c:f>
              <c:numCache>
                <c:formatCode>0.000</c:formatCode>
                <c:ptCount val="1"/>
                <c:pt idx="0">
                  <c:v>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956-401C-8939-9859C826361B}"/>
            </c:ext>
          </c:extLst>
        </c:ser>
        <c:ser>
          <c:idx val="15"/>
          <c:order val="9"/>
          <c:tx>
            <c:strRef>
              <c:f>Diagram!$E$5</c:f>
              <c:strCache>
                <c:ptCount val="1"/>
                <c:pt idx="0">
                  <c:v>P3-(3%Un)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8.9419159169651149E-3"/>
                  <c:y val="2.5454876836907295E-2"/>
                </c:manualLayout>
              </c:layout>
              <c:tx>
                <c:rich>
                  <a:bodyPr/>
                  <a:lstStyle/>
                  <a:p>
                    <a:fld id="{DE3623A4-0859-49FB-9466-954B5E013D7D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DC5014FD-0816-4BE2-A15B-35B89ED08B83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16E0AB83-7DDD-43E8-84E4-D178F2CEE448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956-401C-8939-9859C82636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Diagram!$F$5</c:f>
              <c:numCache>
                <c:formatCode>0.00</c:formatCode>
                <c:ptCount val="1"/>
                <c:pt idx="0">
                  <c:v>20.399999999999999</c:v>
                </c:pt>
              </c:numCache>
            </c:numRef>
          </c:xVal>
          <c:yVal>
            <c:numRef>
              <c:f>Diagram!$G$5</c:f>
              <c:numCache>
                <c:formatCode>0.000</c:formatCode>
                <c:ptCount val="1"/>
                <c:pt idx="0">
                  <c:v>-0.29039999999999999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956-401C-8939-9859C826361B}"/>
            </c:ext>
          </c:extLst>
        </c:ser>
        <c:ser>
          <c:idx val="16"/>
          <c:order val="10"/>
          <c:tx>
            <c:strRef>
              <c:f>Diagram!$E$6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1.306008448692045E-2"/>
                  <c:y val="-2.42955761181965E-2"/>
                </c:manualLayout>
              </c:layout>
              <c:tx>
                <c:rich>
                  <a:bodyPr/>
                  <a:lstStyle/>
                  <a:p>
                    <a:fld id="{A3A9C9EF-1855-4086-93A9-FACA4326445A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9E7CF2E5-5BE1-4D9F-8F2A-B902EC1CE917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24A3DB20-0FF1-480C-9E1C-835BF539CC6A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146-4EFE-A182-7BD25F1A95C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Diagram!$F$6</c:f>
              <c:numCache>
                <c:formatCode>0.00</c:formatCode>
                <c:ptCount val="1"/>
                <c:pt idx="0">
                  <c:v>21</c:v>
                </c:pt>
              </c:numCache>
            </c:numRef>
          </c:xVal>
          <c:yVal>
            <c:numRef>
              <c:f>Diagram!$G$6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956-401C-8939-9859C826361B}"/>
            </c:ext>
          </c:extLst>
        </c:ser>
        <c:ser>
          <c:idx val="17"/>
          <c:order val="11"/>
          <c:tx>
            <c:strRef>
              <c:f>Diagram!$E$7</c:f>
              <c:strCache>
                <c:ptCount val="1"/>
                <c:pt idx="0">
                  <c:v>P3+(3%Un)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2.6701831201237174E-3"/>
                  <c:y val="-3.0162166448870251E-2"/>
                </c:manualLayout>
              </c:layout>
              <c:tx>
                <c:rich>
                  <a:bodyPr/>
                  <a:lstStyle/>
                  <a:p>
                    <a:fld id="{393EC158-CF80-4F40-B98B-5ACFD16693BD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52341D59-7BC5-4E7A-BB20-86F318F1ADED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E8C6D873-7A8C-4380-82AA-6B7202600983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956-401C-8939-9859C82636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Diagram!$F$7</c:f>
              <c:numCache>
                <c:formatCode>0.00</c:formatCode>
                <c:ptCount val="1"/>
                <c:pt idx="0">
                  <c:v>21.6</c:v>
                </c:pt>
              </c:numCache>
            </c:numRef>
          </c:xVal>
          <c:yVal>
            <c:numRef>
              <c:f>Diagram!$G$7</c:f>
              <c:numCache>
                <c:formatCode>0.000</c:formatCode>
                <c:ptCount val="1"/>
                <c:pt idx="0">
                  <c:v>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956-401C-8939-9859C826361B}"/>
            </c:ext>
          </c:extLst>
        </c:ser>
        <c:ser>
          <c:idx val="6"/>
          <c:order val="0"/>
          <c:tx>
            <c:strRef>
              <c:f>Protokoll!$A$27:$D$27</c:f>
              <c:strCache>
                <c:ptCount val="1"/>
                <c:pt idx="0">
                  <c:v>kap.  -0,145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Protokoll!$Y$27</c:f>
              <c:numCache>
                <c:formatCode>0.00</c:formatCode>
                <c:ptCount val="1"/>
                <c:pt idx="0">
                  <c:v>20.399999999999999</c:v>
                </c:pt>
              </c:numCache>
            </c:numRef>
          </c:xVal>
          <c:yVal>
            <c:numRef>
              <c:f>Protokoll!$U$27</c:f>
              <c:numCache>
                <c:formatCode>0.000</c:formatCode>
                <c:ptCount val="1"/>
                <c:pt idx="0">
                  <c:v>-0.14000000000000001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956-401C-8939-9859C826361B}"/>
            </c:ext>
          </c:extLst>
        </c:ser>
        <c:ser>
          <c:idx val="7"/>
          <c:order val="1"/>
          <c:tx>
            <c:strRef>
              <c:f>Protokoll!$A$28:$D$28</c:f>
              <c:strCache>
                <c:ptCount val="1"/>
                <c:pt idx="0">
                  <c:v>kap.  -0,290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Protokoll!$Y$28</c:f>
              <c:numCache>
                <c:formatCode>0.00</c:formatCode>
                <c:ptCount val="1"/>
                <c:pt idx="0">
                  <c:v>20.6</c:v>
                </c:pt>
              </c:numCache>
            </c:numRef>
          </c:xVal>
          <c:yVal>
            <c:numRef>
              <c:f>Protokoll!$U$28</c:f>
              <c:numCache>
                <c:formatCode>0.000</c:formatCode>
                <c:ptCount val="1"/>
                <c:pt idx="0">
                  <c:v>-0.25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956-401C-8939-9859C826361B}"/>
            </c:ext>
          </c:extLst>
        </c:ser>
        <c:ser>
          <c:idx val="8"/>
          <c:order val="2"/>
          <c:tx>
            <c:strRef>
              <c:f>Protokoll!$A$29:$D$29</c:f>
              <c:strCache>
                <c:ptCount val="1"/>
                <c:pt idx="0">
                  <c:v>ind. 0,290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de-DE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Protokoll!$Y$29</c:f>
              <c:numCache>
                <c:formatCode>0.00</c:formatCode>
                <c:ptCount val="1"/>
                <c:pt idx="0">
                  <c:v>20.2</c:v>
                </c:pt>
              </c:numCache>
            </c:numRef>
          </c:xVal>
          <c:yVal>
            <c:numRef>
              <c:f>Protokoll!$U$29</c:f>
              <c:numCache>
                <c:formatCode>0.000</c:formatCode>
                <c:ptCount val="1"/>
                <c:pt idx="0">
                  <c:v>0.28999999999999998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956-401C-8939-9859C826361B}"/>
            </c:ext>
          </c:extLst>
        </c:ser>
        <c:ser>
          <c:idx val="9"/>
          <c:order val="3"/>
          <c:tx>
            <c:strRef>
              <c:f>Protokoll!$A$30:$D$30</c:f>
              <c:strCache>
                <c:ptCount val="1"/>
                <c:pt idx="0">
                  <c:v>ind. 0,145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Protokoll!$Y$30</c:f>
              <c:numCache>
                <c:formatCode>0.00</c:formatCode>
                <c:ptCount val="1"/>
                <c:pt idx="0">
                  <c:v>20.3</c:v>
                </c:pt>
              </c:numCache>
            </c:numRef>
          </c:xVal>
          <c:yVal>
            <c:numRef>
              <c:f>Protokoll!$U$30</c:f>
              <c:numCache>
                <c:formatCode>0.000</c:formatCode>
                <c:ptCount val="1"/>
                <c:pt idx="0">
                  <c:v>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956-401C-8939-9859C8263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978112"/>
        <c:axId val="17198438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12"/>
                <c:tx>
                  <c:strRef>
                    <c:extLst>
                      <c:ext uri="{02D57815-91ED-43cb-92C2-25804820EDAC}">
                        <c15:formulaRef>
                          <c15:sqref>Diagram!$A$2</c15:sqref>
                        </c15:formulaRef>
                      </c:ext>
                    </c:extLst>
                    <c:strCache>
                      <c:ptCount val="1"/>
                      <c:pt idx="0">
                        <c:v>P1</c:v>
                      </c:pt>
                    </c:strCache>
                  </c:strRef>
                </c:tx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Diagram!$B$2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19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Diagram!$C$2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C940-448B-A5D2-7F52E09459F9}"/>
                  </c:ext>
                </c:extLst>
              </c15:ser>
            </c15:filteredScatterSeries>
          </c:ext>
        </c:extLst>
      </c:scatterChart>
      <c:valAx>
        <c:axId val="171978112"/>
        <c:scaling>
          <c:orientation val="minMax"/>
          <c:max val="22"/>
          <c:min val="18.5"/>
        </c:scaling>
        <c:delete val="0"/>
        <c:axPos val="b"/>
        <c:majorGridlines>
          <c:spPr>
            <a:ln w="15875"/>
          </c:spPr>
        </c:majorGridlines>
        <c:minorGridlines>
          <c:spPr>
            <a:ln w="9525"/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de-DE" sz="1200"/>
                  <a:t>Spannung [kV]</a:t>
                </a:r>
              </a:p>
            </c:rich>
          </c:tx>
          <c:layout>
            <c:manualLayout>
              <c:xMode val="edge"/>
              <c:yMode val="edge"/>
              <c:x val="0.47552391055950249"/>
              <c:y val="0.89899022924797822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28575"/>
        </c:spPr>
        <c:txPr>
          <a:bodyPr rot="0" vert="horz" anchor="ctr" anchorCtr="0"/>
          <a:lstStyle/>
          <a:p>
            <a:pPr>
              <a:defRPr>
                <a:ln w="0">
                  <a:noFill/>
                </a:ln>
                <a:solidFill>
                  <a:schemeClr val="tx1"/>
                </a:solidFill>
                <a:effectLst>
                  <a:glow rad="127000">
                    <a:schemeClr val="bg1"/>
                  </a:glow>
                </a:effectLst>
              </a:defRPr>
            </a:pPr>
            <a:endParaRPr lang="de-DE"/>
          </a:p>
        </c:txPr>
        <c:crossAx val="171984384"/>
        <c:crosses val="autoZero"/>
        <c:crossBetween val="midCat"/>
        <c:majorUnit val="0.5"/>
      </c:valAx>
      <c:valAx>
        <c:axId val="171984384"/>
        <c:scaling>
          <c:orientation val="minMax"/>
        </c:scaling>
        <c:delete val="0"/>
        <c:axPos val="l"/>
        <c:majorGridlines>
          <c:spPr>
            <a:ln w="15875"/>
          </c:spPr>
        </c:majorGridlines>
        <c:minorGridlines>
          <c:spPr>
            <a:ln w="9525"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 sz="1200"/>
                  <a:t>Blindleistung [MVar]</a:t>
                </a:r>
              </a:p>
            </c:rich>
          </c:tx>
          <c:overlay val="0"/>
        </c:title>
        <c:numFmt formatCode="0.000" sourceLinked="0"/>
        <c:majorTickMark val="out"/>
        <c:minorTickMark val="none"/>
        <c:tickLblPos val="nextTo"/>
        <c:crossAx val="171978112"/>
        <c:crosses val="autoZero"/>
        <c:crossBetween val="midCat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9"/>
        <c:txPr>
          <a:bodyPr/>
          <a:lstStyle/>
          <a:p>
            <a:pPr>
              <a:defRPr lang="de-DE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</c:legend>
    <c:plotVisOnly val="1"/>
    <c:dispBlanksAs val="gap"/>
    <c:showDLblsOverMax val="0"/>
  </c:chart>
  <c:printSettings>
    <c:headerFooter>
      <c:oddHeader>&amp;L&amp;I&amp;Z&amp;"-,Fett"&amp;16Protokoll der Funktionsprüfung der 
Wirk- und Blindleistungsanpassung von Erzeugungsanlagen</c:oddHeader>
      <c:oddFooter>&amp;LBayernwerk Netz GmbH - Netzsteuerung</c:oddFooter>
    </c:headerFooter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Protokoll!$U$12</c:f>
              <c:strCache>
                <c:ptCount val="1"/>
                <c:pt idx="0">
                  <c:v>Pakt/Pinst [%]</c:v>
                </c:pt>
              </c:strCache>
            </c:strRef>
          </c:tx>
          <c:invertIfNegative val="0"/>
          <c:cat>
            <c:strRef>
              <c:f>Protokoll!$A$14:$D$18</c:f>
              <c:strCache>
                <c:ptCount val="5"/>
                <c:pt idx="0">
                  <c:v>60%</c:v>
                </c:pt>
                <c:pt idx="1">
                  <c:v>30%</c:v>
                </c:pt>
                <c:pt idx="2">
                  <c:v>100%</c:v>
                </c:pt>
                <c:pt idx="3">
                  <c:v>0%</c:v>
                </c:pt>
                <c:pt idx="4">
                  <c:v>100%</c:v>
                </c:pt>
              </c:strCache>
            </c:strRef>
          </c:cat>
          <c:val>
            <c:numRef>
              <c:f>Protokoll!$U$14:$U$18</c:f>
              <c:numCache>
                <c:formatCode>0.0%</c:formatCode>
                <c:ptCount val="5"/>
                <c:pt idx="0">
                  <c:v>0.56818181818181823</c:v>
                </c:pt>
                <c:pt idx="1">
                  <c:v>0.32954545454545453</c:v>
                </c:pt>
                <c:pt idx="2">
                  <c:v>0.73863636363636365</c:v>
                </c:pt>
                <c:pt idx="3">
                  <c:v>1.25E-3</c:v>
                </c:pt>
                <c:pt idx="4">
                  <c:v>0.71590909090909094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4-4373-A288-5E117137E4EC}"/>
            </c:ext>
          </c:extLst>
        </c:ser>
        <c:ser>
          <c:idx val="1"/>
          <c:order val="1"/>
          <c:tx>
            <c:strRef>
              <c:f>Protokoll!$U$12</c:f>
              <c:strCache>
                <c:ptCount val="1"/>
                <c:pt idx="0">
                  <c:v>Pakt/Pinst [%]</c:v>
                </c:pt>
              </c:strCache>
            </c:strRef>
          </c:tx>
          <c:invertIfNegative val="0"/>
          <c:cat>
            <c:strRef>
              <c:f>Protokoll!$A$14:$D$18</c:f>
              <c:strCache>
                <c:ptCount val="5"/>
                <c:pt idx="0">
                  <c:v>60%</c:v>
                </c:pt>
                <c:pt idx="1">
                  <c:v>30%</c:v>
                </c:pt>
                <c:pt idx="2">
                  <c:v>100%</c:v>
                </c:pt>
                <c:pt idx="3">
                  <c:v>0%</c:v>
                </c:pt>
                <c:pt idx="4">
                  <c:v>100%</c:v>
                </c:pt>
              </c:strCache>
            </c:strRef>
          </c:cat>
          <c:val>
            <c:numRef>
              <c:f>Protokoll!$V$14:$V$18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364-4373-A288-5E117137E4EC}"/>
            </c:ext>
          </c:extLst>
        </c:ser>
        <c:ser>
          <c:idx val="2"/>
          <c:order val="2"/>
          <c:tx>
            <c:strRef>
              <c:f>Protokoll!$U$12</c:f>
              <c:strCache>
                <c:ptCount val="1"/>
                <c:pt idx="0">
                  <c:v>Pakt/Pinst [%]</c:v>
                </c:pt>
              </c:strCache>
            </c:strRef>
          </c:tx>
          <c:invertIfNegative val="0"/>
          <c:cat>
            <c:strRef>
              <c:f>Protokoll!$A$14:$D$18</c:f>
              <c:strCache>
                <c:ptCount val="5"/>
                <c:pt idx="0">
                  <c:v>60%</c:v>
                </c:pt>
                <c:pt idx="1">
                  <c:v>30%</c:v>
                </c:pt>
                <c:pt idx="2">
                  <c:v>100%</c:v>
                </c:pt>
                <c:pt idx="3">
                  <c:v>0%</c:v>
                </c:pt>
                <c:pt idx="4">
                  <c:v>100%</c:v>
                </c:pt>
              </c:strCache>
            </c:strRef>
          </c:cat>
          <c:val>
            <c:numRef>
              <c:f>Protokoll!$W$14:$W$18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364-4373-A288-5E117137E4EC}"/>
            </c:ext>
          </c:extLst>
        </c:ser>
        <c:ser>
          <c:idx val="3"/>
          <c:order val="3"/>
          <c:tx>
            <c:strRef>
              <c:f>Protokoll!$U$12</c:f>
              <c:strCache>
                <c:ptCount val="1"/>
                <c:pt idx="0">
                  <c:v>Pakt/Pinst [%]</c:v>
                </c:pt>
              </c:strCache>
            </c:strRef>
          </c:tx>
          <c:invertIfNegative val="0"/>
          <c:cat>
            <c:strRef>
              <c:f>Protokoll!$A$14:$D$18</c:f>
              <c:strCache>
                <c:ptCount val="5"/>
                <c:pt idx="0">
                  <c:v>60%</c:v>
                </c:pt>
                <c:pt idx="1">
                  <c:v>30%</c:v>
                </c:pt>
                <c:pt idx="2">
                  <c:v>100%</c:v>
                </c:pt>
                <c:pt idx="3">
                  <c:v>0%</c:v>
                </c:pt>
                <c:pt idx="4">
                  <c:v>100%</c:v>
                </c:pt>
              </c:strCache>
            </c:strRef>
          </c:cat>
          <c:val>
            <c:numRef>
              <c:f>Protokoll!$X$14:$X$18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2364-4373-A288-5E117137E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2106496"/>
        <c:axId val="172108416"/>
      </c:barChart>
      <c:catAx>
        <c:axId val="17210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Sollwert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72108416"/>
        <c:crosses val="autoZero"/>
        <c:auto val="1"/>
        <c:lblAlgn val="ctr"/>
        <c:lblOffset val="100"/>
        <c:noMultiLvlLbl val="0"/>
      </c:catAx>
      <c:valAx>
        <c:axId val="172108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Messwert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172106496"/>
        <c:crosses val="autoZero"/>
        <c:crossBetween val="between"/>
      </c:valAx>
    </c:plotArea>
    <c:plotVisOnly val="1"/>
    <c:dispBlanksAs val="gap"/>
    <c:showDLblsOverMax val="0"/>
  </c:chart>
  <c:spPr>
    <a:ln w="19050"/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scatterChart>
        <c:scatterStyle val="lineMarker"/>
        <c:varyColors val="0"/>
        <c:ser>
          <c:idx val="10"/>
          <c:order val="4"/>
          <c:tx>
            <c:v>gelb mitte</c:v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Diagram!$J$2:$J$6</c:f>
              <c:numCache>
                <c:formatCode>0.00</c:formatCode>
                <c:ptCount val="5"/>
                <c:pt idx="0">
                  <c:v>18</c:v>
                </c:pt>
                <c:pt idx="1">
                  <c:v>19</c:v>
                </c:pt>
                <c:pt idx="2">
                  <c:v>19.600000000000001</c:v>
                </c:pt>
                <c:pt idx="3">
                  <c:v>20.200000000000003</c:v>
                </c:pt>
                <c:pt idx="4">
                  <c:v>22</c:v>
                </c:pt>
              </c:numCache>
            </c:numRef>
          </c:xVal>
          <c:yVal>
            <c:numRef>
              <c:f>Diagram!$K$2:$K$6</c:f>
              <c:numCache>
                <c:formatCode>0.000</c:formatCode>
                <c:ptCount val="5"/>
                <c:pt idx="0">
                  <c:v>-0.29039999999999999</c:v>
                </c:pt>
                <c:pt idx="1">
                  <c:v>-0.29039999999999999</c:v>
                </c:pt>
                <c:pt idx="2" formatCode="General">
                  <c:v>0</c:v>
                </c:pt>
                <c:pt idx="3">
                  <c:v>0.29039999999999999</c:v>
                </c:pt>
                <c:pt idx="4">
                  <c:v>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65-4266-829C-417A905A3891}"/>
            </c:ext>
          </c:extLst>
        </c:ser>
        <c:ser>
          <c:idx val="11"/>
          <c:order val="5"/>
          <c:tx>
            <c:v>gelb rechts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Diagram!$N$2:$N$6</c:f>
              <c:numCache>
                <c:formatCode>0.00</c:formatCode>
                <c:ptCount val="5"/>
                <c:pt idx="0">
                  <c:v>18</c:v>
                </c:pt>
                <c:pt idx="1">
                  <c:v>20.399999999999999</c:v>
                </c:pt>
                <c:pt idx="2">
                  <c:v>21</c:v>
                </c:pt>
                <c:pt idx="3">
                  <c:v>21.6</c:v>
                </c:pt>
                <c:pt idx="4">
                  <c:v>22</c:v>
                </c:pt>
              </c:numCache>
            </c:numRef>
          </c:xVal>
          <c:yVal>
            <c:numRef>
              <c:f>Diagram!$O$2:$O$6</c:f>
              <c:numCache>
                <c:formatCode>0.000</c:formatCode>
                <c:ptCount val="5"/>
                <c:pt idx="0">
                  <c:v>-0.29039999999999999</c:v>
                </c:pt>
                <c:pt idx="1">
                  <c:v>-0.29039999999999999</c:v>
                </c:pt>
                <c:pt idx="2" formatCode="General">
                  <c:v>0</c:v>
                </c:pt>
                <c:pt idx="3">
                  <c:v>0.29039999999999999</c:v>
                </c:pt>
                <c:pt idx="4">
                  <c:v>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65-4266-829C-417A905A3891}"/>
            </c:ext>
          </c:extLst>
        </c:ser>
        <c:ser>
          <c:idx val="12"/>
          <c:order val="6"/>
          <c:tx>
            <c:strRef>
              <c:f>Diagram!$E$2</c:f>
              <c:strCache>
                <c:ptCount val="1"/>
                <c:pt idx="0">
                  <c:v>P2-(3%Un)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1.8327605956471937E-2"/>
                  <c:y val="3.2586544109329894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14-4347-A782-62D6B1132C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Diagram!$F$2</c:f>
              <c:numCache>
                <c:formatCode>0.00</c:formatCode>
                <c:ptCount val="1"/>
                <c:pt idx="0">
                  <c:v>19</c:v>
                </c:pt>
              </c:numCache>
            </c:numRef>
          </c:xVal>
          <c:yVal>
            <c:numRef>
              <c:f>Diagram!$G$2</c:f>
              <c:numCache>
                <c:formatCode>0.000</c:formatCode>
                <c:ptCount val="1"/>
                <c:pt idx="0">
                  <c:v>-0.29039999999999999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65-4266-829C-417A905A3891}"/>
            </c:ext>
          </c:extLst>
        </c:ser>
        <c:ser>
          <c:idx val="13"/>
          <c:order val="7"/>
          <c:tx>
            <c:strRef>
              <c:f>Diagram!$E$3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1.1554015020219442E-2"/>
                  <c:y val="-2.4439908081997495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A5-4723-B407-D0FB424121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Diagram!$F$3</c:f>
              <c:numCache>
                <c:formatCode>0.00</c:formatCode>
                <c:ptCount val="1"/>
                <c:pt idx="0">
                  <c:v>19.600000000000001</c:v>
                </c:pt>
              </c:numCache>
            </c:numRef>
          </c:xVal>
          <c:yVal>
            <c:numRef>
              <c:f>Diagram!$G$3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65-4266-829C-417A905A3891}"/>
            </c:ext>
          </c:extLst>
        </c:ser>
        <c:ser>
          <c:idx val="14"/>
          <c:order val="8"/>
          <c:tx>
            <c:strRef>
              <c:f>Diagram!$E$4</c:f>
              <c:strCache>
                <c:ptCount val="1"/>
                <c:pt idx="0">
                  <c:v>P2+(3%Un)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8.7056128293241775E-2"/>
                  <c:y val="-3.8017634794218332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14-4347-A782-62D6B1132C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Diagram!$F$4</c:f>
              <c:numCache>
                <c:formatCode>0.00</c:formatCode>
                <c:ptCount val="1"/>
                <c:pt idx="0">
                  <c:v>20.200000000000003</c:v>
                </c:pt>
              </c:numCache>
            </c:numRef>
          </c:xVal>
          <c:yVal>
            <c:numRef>
              <c:f>Diagram!$G$4</c:f>
              <c:numCache>
                <c:formatCode>0.000</c:formatCode>
                <c:ptCount val="1"/>
                <c:pt idx="0">
                  <c:v>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65-4266-829C-417A905A3891}"/>
            </c:ext>
          </c:extLst>
        </c:ser>
        <c:ser>
          <c:idx val="15"/>
          <c:order val="9"/>
          <c:tx>
            <c:strRef>
              <c:f>Diagram!$E$5</c:f>
              <c:strCache>
                <c:ptCount val="1"/>
                <c:pt idx="0">
                  <c:v>P3-(3%Un)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1.832760595647202E-2"/>
                  <c:y val="3.2586544109329894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14-4347-A782-62D6B1132C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Diagram!$F$5</c:f>
              <c:numCache>
                <c:formatCode>0.00</c:formatCode>
                <c:ptCount val="1"/>
                <c:pt idx="0">
                  <c:v>20.399999999999999</c:v>
                </c:pt>
              </c:numCache>
            </c:numRef>
          </c:xVal>
          <c:yVal>
            <c:numRef>
              <c:f>Diagram!$G$5</c:f>
              <c:numCache>
                <c:formatCode>0.000</c:formatCode>
                <c:ptCount val="1"/>
                <c:pt idx="0">
                  <c:v>-0.29039999999999999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65-4266-829C-417A905A3891}"/>
            </c:ext>
          </c:extLst>
        </c:ser>
        <c:ser>
          <c:idx val="16"/>
          <c:order val="10"/>
          <c:tx>
            <c:strRef>
              <c:f>Diagram!$E$6</c:f>
              <c:strCache>
                <c:ptCount val="1"/>
                <c:pt idx="0">
                  <c:v>P3</c:v>
                </c:pt>
              </c:strCache>
              <c:extLst xmlns:c15="http://schemas.microsoft.com/office/drawing/2012/chart"/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9.2432120161755355E-3"/>
                  <c:y val="-1.3577726712220881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A5-4723-B407-D0FB424121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Diagram!$F$6</c:f>
              <c:numCache>
                <c:formatCode>0.00</c:formatCode>
                <c:ptCount val="1"/>
                <c:pt idx="0">
                  <c:v>21</c:v>
                </c:pt>
              </c:numCache>
              <c:extLst xmlns:c15="http://schemas.microsoft.com/office/drawing/2012/chart"/>
            </c:numRef>
          </c:xVal>
          <c:yVal>
            <c:numRef>
              <c:f>Diagram!$G$6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5D65-4266-829C-417A905A3891}"/>
            </c:ext>
          </c:extLst>
        </c:ser>
        <c:ser>
          <c:idx val="17"/>
          <c:order val="11"/>
          <c:tx>
            <c:strRef>
              <c:f>Diagram!$E$7</c:f>
              <c:strCache>
                <c:ptCount val="1"/>
                <c:pt idx="0">
                  <c:v>P3+(3%Un)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3.8314180098166762E-3"/>
                  <c:y val="-3.5512510088781285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C5-4243-8699-DE827A3319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Diagram!$F$7</c:f>
              <c:numCache>
                <c:formatCode>0.00</c:formatCode>
                <c:ptCount val="1"/>
                <c:pt idx="0">
                  <c:v>21.6</c:v>
                </c:pt>
              </c:numCache>
            </c:numRef>
          </c:xVal>
          <c:yVal>
            <c:numRef>
              <c:f>Diagram!$G$7</c:f>
              <c:numCache>
                <c:formatCode>0.000</c:formatCode>
                <c:ptCount val="1"/>
                <c:pt idx="0">
                  <c:v>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D65-4266-829C-417A905A3891}"/>
            </c:ext>
          </c:extLst>
        </c:ser>
        <c:ser>
          <c:idx val="6"/>
          <c:order val="0"/>
          <c:tx>
            <c:strRef>
              <c:f>Protokoll!$A$27:$D$27</c:f>
              <c:strCache>
                <c:ptCount val="1"/>
                <c:pt idx="0">
                  <c:v>kap.  -0,145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Protokoll!$Y$27</c:f>
              <c:numCache>
                <c:formatCode>0.00</c:formatCode>
                <c:ptCount val="1"/>
                <c:pt idx="0">
                  <c:v>20.399999999999999</c:v>
                </c:pt>
              </c:numCache>
            </c:numRef>
          </c:xVal>
          <c:yVal>
            <c:numRef>
              <c:f>Protokoll!$U$27</c:f>
              <c:numCache>
                <c:formatCode>0.000</c:formatCode>
                <c:ptCount val="1"/>
                <c:pt idx="0">
                  <c:v>-0.14000000000000001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D65-4266-829C-417A905A3891}"/>
            </c:ext>
          </c:extLst>
        </c:ser>
        <c:ser>
          <c:idx val="7"/>
          <c:order val="1"/>
          <c:tx>
            <c:strRef>
              <c:f>Protokoll!$A$28:$D$28</c:f>
              <c:strCache>
                <c:ptCount val="1"/>
                <c:pt idx="0">
                  <c:v>kap.  -0,290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Protokoll!$Y$28</c:f>
              <c:numCache>
                <c:formatCode>0.00</c:formatCode>
                <c:ptCount val="1"/>
                <c:pt idx="0">
                  <c:v>20.6</c:v>
                </c:pt>
              </c:numCache>
            </c:numRef>
          </c:xVal>
          <c:yVal>
            <c:numRef>
              <c:f>Protokoll!$U$28</c:f>
              <c:numCache>
                <c:formatCode>0.000</c:formatCode>
                <c:ptCount val="1"/>
                <c:pt idx="0">
                  <c:v>-0.25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D65-4266-829C-417A905A3891}"/>
            </c:ext>
          </c:extLst>
        </c:ser>
        <c:ser>
          <c:idx val="8"/>
          <c:order val="2"/>
          <c:tx>
            <c:strRef>
              <c:f>Protokoll!$A$29:$D$29</c:f>
              <c:strCache>
                <c:ptCount val="1"/>
                <c:pt idx="0">
                  <c:v>ind. 0,290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Protokoll!$Y$29</c:f>
              <c:numCache>
                <c:formatCode>0.00</c:formatCode>
                <c:ptCount val="1"/>
                <c:pt idx="0">
                  <c:v>20.2</c:v>
                </c:pt>
              </c:numCache>
            </c:numRef>
          </c:xVal>
          <c:yVal>
            <c:numRef>
              <c:f>Protokoll!$U$29</c:f>
              <c:numCache>
                <c:formatCode>0.000</c:formatCode>
                <c:ptCount val="1"/>
                <c:pt idx="0">
                  <c:v>0.28999999999999998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D65-4266-829C-417A905A3891}"/>
            </c:ext>
          </c:extLst>
        </c:ser>
        <c:ser>
          <c:idx val="9"/>
          <c:order val="3"/>
          <c:tx>
            <c:strRef>
              <c:f>Protokoll!$A$30:$D$30</c:f>
              <c:strCache>
                <c:ptCount val="1"/>
                <c:pt idx="0">
                  <c:v>ind. 0,145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Protokoll!$Y$30</c:f>
              <c:numCache>
                <c:formatCode>0.00</c:formatCode>
                <c:ptCount val="1"/>
                <c:pt idx="0">
                  <c:v>20.3</c:v>
                </c:pt>
              </c:numCache>
            </c:numRef>
          </c:xVal>
          <c:yVal>
            <c:numRef>
              <c:f>Protokoll!$U$30</c:f>
              <c:numCache>
                <c:formatCode>0.000</c:formatCode>
                <c:ptCount val="1"/>
                <c:pt idx="0">
                  <c:v>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D65-4266-829C-417A905A3891}"/>
            </c:ext>
          </c:extLst>
        </c:ser>
        <c:ser>
          <c:idx val="0"/>
          <c:order val="12"/>
          <c:tx>
            <c:strRef>
              <c:f>Diagram!$A$2</c:f>
              <c:strCache>
                <c:ptCount val="1"/>
                <c:pt idx="0">
                  <c:v>P1</c:v>
                </c:pt>
              </c:strCache>
            </c:strRef>
          </c:tx>
          <c:marker>
            <c:symbol val="none"/>
          </c:marker>
          <c:xVal>
            <c:numRef>
              <c:f>Diagram!$D$2</c:f>
              <c:numCache>
                <c:formatCode>0.00</c:formatCode>
                <c:ptCount val="1"/>
              </c:numCache>
            </c:numRef>
          </c:xVal>
          <c:yVal>
            <c:numRef>
              <c:f>Diagram!$C$2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0E9-4F1A-96B8-EDE212B1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17472"/>
        <c:axId val="172219392"/>
        <c:extLst/>
      </c:scatterChart>
      <c:valAx>
        <c:axId val="172217472"/>
        <c:scaling>
          <c:orientation val="minMax"/>
          <c:max val="22"/>
          <c:min val="18.5"/>
        </c:scaling>
        <c:delete val="0"/>
        <c:axPos val="b"/>
        <c:majorGridlines/>
        <c:minorGridlines>
          <c:spPr>
            <a:ln w="6350"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Spannung [kV]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72219392"/>
        <c:crosses val="autoZero"/>
        <c:crossBetween val="midCat"/>
      </c:valAx>
      <c:valAx>
        <c:axId val="172219392"/>
        <c:scaling>
          <c:orientation val="minMax"/>
        </c:scaling>
        <c:delete val="0"/>
        <c:axPos val="l"/>
        <c:majorGridlines>
          <c:spPr>
            <a:ln w="6350"/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Blindleistung [MVar]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2217472"/>
        <c:crosses val="autoZero"/>
        <c:crossBetween val="midCat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9"/>
        <c:txPr>
          <a:bodyPr/>
          <a:lstStyle/>
          <a:p>
            <a:pPr>
              <a:defRPr lang="de-DE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Wertetabelle!$I$1</c:f>
              <c:strCache>
                <c:ptCount val="1"/>
                <c:pt idx="0">
                  <c:v>Qind-Grenze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Wertetabelle!$F$2:$F$269</c:f>
              <c:numCache>
                <c:formatCode>0.00</c:formatCode>
                <c:ptCount val="268"/>
                <c:pt idx="0">
                  <c:v>18.5</c:v>
                </c:pt>
                <c:pt idx="1">
                  <c:v>19</c:v>
                </c:pt>
                <c:pt idx="2">
                  <c:v>19.010000000000002</c:v>
                </c:pt>
                <c:pt idx="3">
                  <c:v>19.02</c:v>
                </c:pt>
                <c:pt idx="4">
                  <c:v>19.03</c:v>
                </c:pt>
                <c:pt idx="5">
                  <c:v>19.04</c:v>
                </c:pt>
                <c:pt idx="6">
                  <c:v>19.05</c:v>
                </c:pt>
                <c:pt idx="7">
                  <c:v>19.059999999999999</c:v>
                </c:pt>
                <c:pt idx="8">
                  <c:v>19.07</c:v>
                </c:pt>
                <c:pt idx="9">
                  <c:v>19.079999999999998</c:v>
                </c:pt>
                <c:pt idx="10">
                  <c:v>19.09</c:v>
                </c:pt>
                <c:pt idx="11">
                  <c:v>19.100000000000001</c:v>
                </c:pt>
                <c:pt idx="12">
                  <c:v>19.11</c:v>
                </c:pt>
                <c:pt idx="13">
                  <c:v>19.12</c:v>
                </c:pt>
                <c:pt idx="14">
                  <c:v>19.13</c:v>
                </c:pt>
                <c:pt idx="15">
                  <c:v>19.14</c:v>
                </c:pt>
                <c:pt idx="16">
                  <c:v>19.149999999999999</c:v>
                </c:pt>
                <c:pt idx="17">
                  <c:v>19.16</c:v>
                </c:pt>
                <c:pt idx="18">
                  <c:v>19.170000000000002</c:v>
                </c:pt>
                <c:pt idx="19">
                  <c:v>19.18</c:v>
                </c:pt>
                <c:pt idx="20">
                  <c:v>19.190000000000001</c:v>
                </c:pt>
                <c:pt idx="21">
                  <c:v>19.2</c:v>
                </c:pt>
                <c:pt idx="22">
                  <c:v>19.21</c:v>
                </c:pt>
                <c:pt idx="23">
                  <c:v>19.22</c:v>
                </c:pt>
                <c:pt idx="24">
                  <c:v>19.23</c:v>
                </c:pt>
                <c:pt idx="25">
                  <c:v>19.239999999999998</c:v>
                </c:pt>
                <c:pt idx="26">
                  <c:v>19.25</c:v>
                </c:pt>
                <c:pt idx="27">
                  <c:v>19.260000000000002</c:v>
                </c:pt>
                <c:pt idx="28">
                  <c:v>19.2699999999999</c:v>
                </c:pt>
                <c:pt idx="29">
                  <c:v>19.279999999999902</c:v>
                </c:pt>
                <c:pt idx="30">
                  <c:v>19.2899999999999</c:v>
                </c:pt>
                <c:pt idx="31">
                  <c:v>19.299999999999901</c:v>
                </c:pt>
                <c:pt idx="32">
                  <c:v>19.309999999999899</c:v>
                </c:pt>
                <c:pt idx="33">
                  <c:v>19.319999999999901</c:v>
                </c:pt>
                <c:pt idx="34">
                  <c:v>19.329999999999899</c:v>
                </c:pt>
                <c:pt idx="35">
                  <c:v>19.3399999999999</c:v>
                </c:pt>
                <c:pt idx="36">
                  <c:v>19.349999999999898</c:v>
                </c:pt>
                <c:pt idx="37">
                  <c:v>19.3599999999999</c:v>
                </c:pt>
                <c:pt idx="38">
                  <c:v>19.369999999999902</c:v>
                </c:pt>
                <c:pt idx="39">
                  <c:v>19.3799999999999</c:v>
                </c:pt>
                <c:pt idx="40">
                  <c:v>19.389999999999901</c:v>
                </c:pt>
                <c:pt idx="41">
                  <c:v>19.399999999999899</c:v>
                </c:pt>
                <c:pt idx="42">
                  <c:v>19.409999999999901</c:v>
                </c:pt>
                <c:pt idx="43">
                  <c:v>19.419999999999899</c:v>
                </c:pt>
                <c:pt idx="44">
                  <c:v>19.4299999999999</c:v>
                </c:pt>
                <c:pt idx="45">
                  <c:v>19.439999999999898</c:v>
                </c:pt>
                <c:pt idx="46">
                  <c:v>19.4499999999999</c:v>
                </c:pt>
                <c:pt idx="47">
                  <c:v>19.459999999999901</c:v>
                </c:pt>
                <c:pt idx="48">
                  <c:v>19.469999999999899</c:v>
                </c:pt>
                <c:pt idx="49">
                  <c:v>19.479999999999901</c:v>
                </c:pt>
                <c:pt idx="50">
                  <c:v>19.489999999999899</c:v>
                </c:pt>
                <c:pt idx="51">
                  <c:v>19.499999999999901</c:v>
                </c:pt>
                <c:pt idx="52">
                  <c:v>19.509999999999899</c:v>
                </c:pt>
                <c:pt idx="53">
                  <c:v>19.5199999999999</c:v>
                </c:pt>
                <c:pt idx="54">
                  <c:v>19.529999999999902</c:v>
                </c:pt>
                <c:pt idx="55">
                  <c:v>19.5399999999999</c:v>
                </c:pt>
                <c:pt idx="56">
                  <c:v>19.549999999999901</c:v>
                </c:pt>
                <c:pt idx="57">
                  <c:v>19.559999999999899</c:v>
                </c:pt>
                <c:pt idx="58">
                  <c:v>19.569999999999901</c:v>
                </c:pt>
                <c:pt idx="59">
                  <c:v>19.579999999999899</c:v>
                </c:pt>
                <c:pt idx="60">
                  <c:v>19.5899999999999</c:v>
                </c:pt>
                <c:pt idx="61">
                  <c:v>19.599999999999898</c:v>
                </c:pt>
                <c:pt idx="62">
                  <c:v>19.6099999999999</c:v>
                </c:pt>
                <c:pt idx="63">
                  <c:v>19.619999999999902</c:v>
                </c:pt>
                <c:pt idx="64">
                  <c:v>19.6299999999999</c:v>
                </c:pt>
                <c:pt idx="65">
                  <c:v>19.639999999999901</c:v>
                </c:pt>
                <c:pt idx="66">
                  <c:v>19.649999999999899</c:v>
                </c:pt>
                <c:pt idx="67">
                  <c:v>19.659999999999901</c:v>
                </c:pt>
                <c:pt idx="68">
                  <c:v>19.669999999999899</c:v>
                </c:pt>
                <c:pt idx="69">
                  <c:v>19.6799999999999</c:v>
                </c:pt>
                <c:pt idx="70">
                  <c:v>19.689999999999898</c:v>
                </c:pt>
                <c:pt idx="71">
                  <c:v>19.6999999999999</c:v>
                </c:pt>
                <c:pt idx="72">
                  <c:v>19.709999999999901</c:v>
                </c:pt>
                <c:pt idx="73">
                  <c:v>19.719999999999899</c:v>
                </c:pt>
                <c:pt idx="74">
                  <c:v>19.729999999999901</c:v>
                </c:pt>
                <c:pt idx="75">
                  <c:v>19.739999999999899</c:v>
                </c:pt>
                <c:pt idx="76">
                  <c:v>19.749999999999901</c:v>
                </c:pt>
                <c:pt idx="77">
                  <c:v>19.759999999999899</c:v>
                </c:pt>
                <c:pt idx="78">
                  <c:v>19.7699999999999</c:v>
                </c:pt>
                <c:pt idx="79">
                  <c:v>19.779999999999799</c:v>
                </c:pt>
                <c:pt idx="80">
                  <c:v>19.7899999999998</c:v>
                </c:pt>
                <c:pt idx="81">
                  <c:v>19.799999999999802</c:v>
                </c:pt>
                <c:pt idx="82">
                  <c:v>19.8099999999998</c:v>
                </c:pt>
                <c:pt idx="83">
                  <c:v>19.819999999999801</c:v>
                </c:pt>
                <c:pt idx="84">
                  <c:v>19.829999999999799</c:v>
                </c:pt>
                <c:pt idx="85">
                  <c:v>19.839999999999801</c:v>
                </c:pt>
                <c:pt idx="86">
                  <c:v>19.849999999999799</c:v>
                </c:pt>
                <c:pt idx="87">
                  <c:v>19.8599999999998</c:v>
                </c:pt>
                <c:pt idx="88">
                  <c:v>19.869999999999798</c:v>
                </c:pt>
                <c:pt idx="89">
                  <c:v>19.8799999999998</c:v>
                </c:pt>
                <c:pt idx="90">
                  <c:v>19.889999999999802</c:v>
                </c:pt>
                <c:pt idx="91">
                  <c:v>19.8999999999998</c:v>
                </c:pt>
                <c:pt idx="92">
                  <c:v>19.909999999999801</c:v>
                </c:pt>
                <c:pt idx="93">
                  <c:v>19.919999999999799</c:v>
                </c:pt>
                <c:pt idx="94">
                  <c:v>19.929999999999801</c:v>
                </c:pt>
                <c:pt idx="95">
                  <c:v>19.939999999999799</c:v>
                </c:pt>
                <c:pt idx="96">
                  <c:v>19.9499999999998</c:v>
                </c:pt>
                <c:pt idx="97">
                  <c:v>19.959999999999798</c:v>
                </c:pt>
                <c:pt idx="98">
                  <c:v>19.9699999999998</c:v>
                </c:pt>
                <c:pt idx="99">
                  <c:v>19.979999999999801</c:v>
                </c:pt>
                <c:pt idx="100">
                  <c:v>19.989999999999799</c:v>
                </c:pt>
                <c:pt idx="101">
                  <c:v>19.999999999999801</c:v>
                </c:pt>
                <c:pt idx="102">
                  <c:v>20.009999999999799</c:v>
                </c:pt>
                <c:pt idx="103">
                  <c:v>20.019999999999804</c:v>
                </c:pt>
                <c:pt idx="104">
                  <c:v>20.029999999999795</c:v>
                </c:pt>
                <c:pt idx="105">
                  <c:v>20.0399999999998</c:v>
                </c:pt>
                <c:pt idx="106">
                  <c:v>20.049999999999805</c:v>
                </c:pt>
                <c:pt idx="107">
                  <c:v>20.059999999999796</c:v>
                </c:pt>
                <c:pt idx="108">
                  <c:v>20.069999999999801</c:v>
                </c:pt>
                <c:pt idx="109">
                  <c:v>20.079999999999799</c:v>
                </c:pt>
                <c:pt idx="110">
                  <c:v>20.089999999999797</c:v>
                </c:pt>
                <c:pt idx="111">
                  <c:v>20.099999999999799</c:v>
                </c:pt>
                <c:pt idx="112">
                  <c:v>20.1099999999998</c:v>
                </c:pt>
                <c:pt idx="113">
                  <c:v>20.119999999999798</c:v>
                </c:pt>
                <c:pt idx="114">
                  <c:v>20.1299999999998</c:v>
                </c:pt>
                <c:pt idx="115">
                  <c:v>20.139999999999802</c:v>
                </c:pt>
                <c:pt idx="116">
                  <c:v>20.1499999999998</c:v>
                </c:pt>
                <c:pt idx="117">
                  <c:v>20.159999999999801</c:v>
                </c:pt>
                <c:pt idx="118">
                  <c:v>20.169999999999799</c:v>
                </c:pt>
                <c:pt idx="119">
                  <c:v>20.179999999999801</c:v>
                </c:pt>
                <c:pt idx="120">
                  <c:v>20.189999999999799</c:v>
                </c:pt>
                <c:pt idx="121">
                  <c:v>20.1999999999998</c:v>
                </c:pt>
                <c:pt idx="122">
                  <c:v>20.209999999999798</c:v>
                </c:pt>
                <c:pt idx="123">
                  <c:v>20.2199999999998</c:v>
                </c:pt>
                <c:pt idx="124">
                  <c:v>20.229999999999801</c:v>
                </c:pt>
                <c:pt idx="125">
                  <c:v>20.239999999999799</c:v>
                </c:pt>
                <c:pt idx="126">
                  <c:v>20.249999999999801</c:v>
                </c:pt>
                <c:pt idx="127">
                  <c:v>20.259999999999799</c:v>
                </c:pt>
                <c:pt idx="128">
                  <c:v>20.269999999999801</c:v>
                </c:pt>
                <c:pt idx="129">
                  <c:v>20.279999999999802</c:v>
                </c:pt>
                <c:pt idx="130">
                  <c:v>20.2899999999998</c:v>
                </c:pt>
                <c:pt idx="131">
                  <c:v>20.299999999999699</c:v>
                </c:pt>
                <c:pt idx="132">
                  <c:v>20.3099999999997</c:v>
                </c:pt>
                <c:pt idx="133">
                  <c:v>20.319999999999698</c:v>
                </c:pt>
                <c:pt idx="134">
                  <c:v>20.3299999999997</c:v>
                </c:pt>
                <c:pt idx="135">
                  <c:v>20.339999999999701</c:v>
                </c:pt>
                <c:pt idx="136">
                  <c:v>20.349999999999699</c:v>
                </c:pt>
                <c:pt idx="137">
                  <c:v>20.359999999999701</c:v>
                </c:pt>
                <c:pt idx="138">
                  <c:v>20.369999999999699</c:v>
                </c:pt>
                <c:pt idx="139">
                  <c:v>20.379999999999701</c:v>
                </c:pt>
                <c:pt idx="140">
                  <c:v>20.389999999999699</c:v>
                </c:pt>
                <c:pt idx="141">
                  <c:v>20.3999999999997</c:v>
                </c:pt>
                <c:pt idx="142">
                  <c:v>20.409999999999702</c:v>
                </c:pt>
                <c:pt idx="143">
                  <c:v>20.4199999999997</c:v>
                </c:pt>
                <c:pt idx="144">
                  <c:v>20.429999999999701</c:v>
                </c:pt>
                <c:pt idx="145">
                  <c:v>20.439999999999699</c:v>
                </c:pt>
                <c:pt idx="146">
                  <c:v>20.449999999999701</c:v>
                </c:pt>
                <c:pt idx="147">
                  <c:v>20.459999999999702</c:v>
                </c:pt>
                <c:pt idx="148">
                  <c:v>20.4699999999997</c:v>
                </c:pt>
                <c:pt idx="149">
                  <c:v>20.479999999999698</c:v>
                </c:pt>
                <c:pt idx="150">
                  <c:v>20.489999999999704</c:v>
                </c:pt>
                <c:pt idx="151">
                  <c:v>20.499999999999702</c:v>
                </c:pt>
                <c:pt idx="152">
                  <c:v>20.5099999999997</c:v>
                </c:pt>
                <c:pt idx="153">
                  <c:v>20.519999999999705</c:v>
                </c:pt>
                <c:pt idx="154">
                  <c:v>20.529999999999696</c:v>
                </c:pt>
                <c:pt idx="155">
                  <c:v>20.539999999999701</c:v>
                </c:pt>
                <c:pt idx="156">
                  <c:v>20.549999999999699</c:v>
                </c:pt>
                <c:pt idx="157">
                  <c:v>20.559999999999697</c:v>
                </c:pt>
                <c:pt idx="158">
                  <c:v>20.569999999999698</c:v>
                </c:pt>
                <c:pt idx="159">
                  <c:v>20.5799999999997</c:v>
                </c:pt>
                <c:pt idx="160">
                  <c:v>20.589999999999698</c:v>
                </c:pt>
                <c:pt idx="161">
                  <c:v>20.599999999999699</c:v>
                </c:pt>
                <c:pt idx="162">
                  <c:v>20.609999999999701</c:v>
                </c:pt>
                <c:pt idx="163">
                  <c:v>20.619999999999699</c:v>
                </c:pt>
                <c:pt idx="164">
                  <c:v>20.629999999999701</c:v>
                </c:pt>
                <c:pt idx="165">
                  <c:v>20.639999999999699</c:v>
                </c:pt>
                <c:pt idx="166">
                  <c:v>20.6499999999997</c:v>
                </c:pt>
                <c:pt idx="167">
                  <c:v>20.659999999999702</c:v>
                </c:pt>
                <c:pt idx="168">
                  <c:v>20.6699999999997</c:v>
                </c:pt>
                <c:pt idx="169">
                  <c:v>20.679999999999701</c:v>
                </c:pt>
                <c:pt idx="170">
                  <c:v>20.689999999999699</c:v>
                </c:pt>
                <c:pt idx="171">
                  <c:v>20.699999999999701</c:v>
                </c:pt>
                <c:pt idx="172">
                  <c:v>20.709999999999699</c:v>
                </c:pt>
                <c:pt idx="173">
                  <c:v>20.7199999999997</c:v>
                </c:pt>
                <c:pt idx="174">
                  <c:v>20.729999999999698</c:v>
                </c:pt>
                <c:pt idx="175">
                  <c:v>20.7399999999997</c:v>
                </c:pt>
                <c:pt idx="176">
                  <c:v>20.749999999999702</c:v>
                </c:pt>
                <c:pt idx="177">
                  <c:v>20.7599999999996</c:v>
                </c:pt>
                <c:pt idx="178">
                  <c:v>20.769999999999701</c:v>
                </c:pt>
                <c:pt idx="179">
                  <c:v>20.779999999999703</c:v>
                </c:pt>
                <c:pt idx="180">
                  <c:v>20.789999999999701</c:v>
                </c:pt>
                <c:pt idx="181">
                  <c:v>20.799999999999599</c:v>
                </c:pt>
                <c:pt idx="182">
                  <c:v>20.809999999999601</c:v>
                </c:pt>
                <c:pt idx="183">
                  <c:v>20.819999999999599</c:v>
                </c:pt>
                <c:pt idx="184">
                  <c:v>20.8299999999996</c:v>
                </c:pt>
                <c:pt idx="185">
                  <c:v>20.839999999999598</c:v>
                </c:pt>
                <c:pt idx="186">
                  <c:v>20.8499999999996</c:v>
                </c:pt>
                <c:pt idx="187">
                  <c:v>20.859999999999602</c:v>
                </c:pt>
                <c:pt idx="188">
                  <c:v>20.8699999999996</c:v>
                </c:pt>
                <c:pt idx="189">
                  <c:v>20.879999999999601</c:v>
                </c:pt>
                <c:pt idx="190">
                  <c:v>20.889999999999599</c:v>
                </c:pt>
                <c:pt idx="191">
                  <c:v>20.899999999999601</c:v>
                </c:pt>
                <c:pt idx="192">
                  <c:v>20.909999999999599</c:v>
                </c:pt>
                <c:pt idx="193">
                  <c:v>20.9199999999996</c:v>
                </c:pt>
                <c:pt idx="194">
                  <c:v>20.929999999999602</c:v>
                </c:pt>
                <c:pt idx="195">
                  <c:v>20.9399999999996</c:v>
                </c:pt>
                <c:pt idx="196">
                  <c:v>20.949999999999601</c:v>
                </c:pt>
                <c:pt idx="197">
                  <c:v>20.959999999999603</c:v>
                </c:pt>
                <c:pt idx="198">
                  <c:v>20.969999999999601</c:v>
                </c:pt>
                <c:pt idx="199">
                  <c:v>20.979999999999599</c:v>
                </c:pt>
                <c:pt idx="200">
                  <c:v>20.989999999999604</c:v>
                </c:pt>
                <c:pt idx="201">
                  <c:v>20.999999999999595</c:v>
                </c:pt>
                <c:pt idx="202">
                  <c:v>21.0099999999996</c:v>
                </c:pt>
                <c:pt idx="203">
                  <c:v>21.019999999999605</c:v>
                </c:pt>
                <c:pt idx="204">
                  <c:v>21.029999999999596</c:v>
                </c:pt>
                <c:pt idx="205">
                  <c:v>21.039999999999601</c:v>
                </c:pt>
                <c:pt idx="206">
                  <c:v>21.049999999999599</c:v>
                </c:pt>
                <c:pt idx="207">
                  <c:v>21.059999999999597</c:v>
                </c:pt>
                <c:pt idx="208">
                  <c:v>21.069999999999599</c:v>
                </c:pt>
                <c:pt idx="209">
                  <c:v>21.0799999999996</c:v>
                </c:pt>
                <c:pt idx="210">
                  <c:v>21.089999999999598</c:v>
                </c:pt>
                <c:pt idx="211">
                  <c:v>21.0999999999996</c:v>
                </c:pt>
                <c:pt idx="212">
                  <c:v>21.109999999999602</c:v>
                </c:pt>
                <c:pt idx="213">
                  <c:v>21.1199999999996</c:v>
                </c:pt>
                <c:pt idx="214">
                  <c:v>21.129999999999601</c:v>
                </c:pt>
                <c:pt idx="215">
                  <c:v>21.139999999999599</c:v>
                </c:pt>
                <c:pt idx="216">
                  <c:v>21.149999999999601</c:v>
                </c:pt>
                <c:pt idx="217">
                  <c:v>21.159999999999599</c:v>
                </c:pt>
                <c:pt idx="218">
                  <c:v>21.1699999999996</c:v>
                </c:pt>
                <c:pt idx="219">
                  <c:v>21.179999999999598</c:v>
                </c:pt>
                <c:pt idx="220">
                  <c:v>21.1899999999996</c:v>
                </c:pt>
                <c:pt idx="221">
                  <c:v>21.199999999999601</c:v>
                </c:pt>
                <c:pt idx="222">
                  <c:v>21.209999999999599</c:v>
                </c:pt>
                <c:pt idx="223">
                  <c:v>21.219999999999601</c:v>
                </c:pt>
                <c:pt idx="224">
                  <c:v>21.229999999999599</c:v>
                </c:pt>
                <c:pt idx="225">
                  <c:v>21.239999999999601</c:v>
                </c:pt>
                <c:pt idx="226">
                  <c:v>21.249999999999602</c:v>
                </c:pt>
                <c:pt idx="227">
                  <c:v>21.2599999999996</c:v>
                </c:pt>
                <c:pt idx="228">
                  <c:v>21.269999999999602</c:v>
                </c:pt>
                <c:pt idx="229">
                  <c:v>21.279999999999603</c:v>
                </c:pt>
                <c:pt idx="230">
                  <c:v>21.289999999999601</c:v>
                </c:pt>
                <c:pt idx="231">
                  <c:v>21.2999999999995</c:v>
                </c:pt>
                <c:pt idx="232">
                  <c:v>21.309999999999501</c:v>
                </c:pt>
                <c:pt idx="233">
                  <c:v>21.319999999999499</c:v>
                </c:pt>
                <c:pt idx="234">
                  <c:v>21.329999999999501</c:v>
                </c:pt>
                <c:pt idx="235">
                  <c:v>21.339999999999499</c:v>
                </c:pt>
                <c:pt idx="236">
                  <c:v>21.3499999999995</c:v>
                </c:pt>
                <c:pt idx="237">
                  <c:v>21.359999999999498</c:v>
                </c:pt>
                <c:pt idx="238">
                  <c:v>21.3699999999995</c:v>
                </c:pt>
                <c:pt idx="239">
                  <c:v>21.379999999999502</c:v>
                </c:pt>
                <c:pt idx="240">
                  <c:v>21.3899999999995</c:v>
                </c:pt>
                <c:pt idx="241">
                  <c:v>21.399999999999501</c:v>
                </c:pt>
                <c:pt idx="242">
                  <c:v>21.409999999999499</c:v>
                </c:pt>
                <c:pt idx="243">
                  <c:v>21.419999999999501</c:v>
                </c:pt>
                <c:pt idx="244">
                  <c:v>21.429999999999502</c:v>
                </c:pt>
                <c:pt idx="245">
                  <c:v>21.4399999999995</c:v>
                </c:pt>
                <c:pt idx="246">
                  <c:v>21.449999999999498</c:v>
                </c:pt>
                <c:pt idx="247">
                  <c:v>21.459999999999503</c:v>
                </c:pt>
                <c:pt idx="248">
                  <c:v>21.469999999999501</c:v>
                </c:pt>
                <c:pt idx="249">
                  <c:v>21.479999999999499</c:v>
                </c:pt>
                <c:pt idx="250">
                  <c:v>21.489999999999505</c:v>
                </c:pt>
                <c:pt idx="251">
                  <c:v>21.499999999999496</c:v>
                </c:pt>
                <c:pt idx="252">
                  <c:v>21.509999999999501</c:v>
                </c:pt>
                <c:pt idx="253">
                  <c:v>21.519999999999499</c:v>
                </c:pt>
                <c:pt idx="254">
                  <c:v>21.529999999999497</c:v>
                </c:pt>
                <c:pt idx="255">
                  <c:v>21.539999999999502</c:v>
                </c:pt>
                <c:pt idx="256">
                  <c:v>21.5499999999995</c:v>
                </c:pt>
                <c:pt idx="257">
                  <c:v>21.559999999999498</c:v>
                </c:pt>
                <c:pt idx="258">
                  <c:v>21.569999999999499</c:v>
                </c:pt>
                <c:pt idx="259">
                  <c:v>21.579999999999501</c:v>
                </c:pt>
                <c:pt idx="260">
                  <c:v>21.589999999999499</c:v>
                </c:pt>
                <c:pt idx="261">
                  <c:v>21.5999999999995</c:v>
                </c:pt>
                <c:pt idx="262">
                  <c:v>21.609999999999498</c:v>
                </c:pt>
                <c:pt idx="263">
                  <c:v>21.6199999999995</c:v>
                </c:pt>
                <c:pt idx="264">
                  <c:v>21.629999999999502</c:v>
                </c:pt>
                <c:pt idx="265">
                  <c:v>21.6399999999995</c:v>
                </c:pt>
                <c:pt idx="266">
                  <c:v>21.649999999999501</c:v>
                </c:pt>
                <c:pt idx="267">
                  <c:v>21.659999999999499</c:v>
                </c:pt>
              </c:numCache>
            </c:numRef>
          </c:xVal>
          <c:yVal>
            <c:numRef>
              <c:f>Wertetabelle!$I$2:$I$269</c:f>
              <c:numCache>
                <c:formatCode>General</c:formatCode>
                <c:ptCount val="268"/>
                <c:pt idx="0">
                  <c:v>-0.29040000000000071</c:v>
                </c:pt>
                <c:pt idx="1">
                  <c:v>-0.29040000000000071</c:v>
                </c:pt>
                <c:pt idx="2">
                  <c:v>-0.28555999999999993</c:v>
                </c:pt>
                <c:pt idx="3">
                  <c:v>-0.28072000000000091</c:v>
                </c:pt>
                <c:pt idx="4">
                  <c:v>-0.27588000000000013</c:v>
                </c:pt>
                <c:pt idx="5">
                  <c:v>-0.27104000000000111</c:v>
                </c:pt>
                <c:pt idx="6">
                  <c:v>-0.26620000000000033</c:v>
                </c:pt>
                <c:pt idx="7">
                  <c:v>-0.26136000000000131</c:v>
                </c:pt>
                <c:pt idx="8">
                  <c:v>-0.25652000000000058</c:v>
                </c:pt>
                <c:pt idx="9">
                  <c:v>-0.25168000000000151</c:v>
                </c:pt>
                <c:pt idx="10">
                  <c:v>-0.24684000000000075</c:v>
                </c:pt>
                <c:pt idx="11">
                  <c:v>-0.24199999999999999</c:v>
                </c:pt>
                <c:pt idx="12">
                  <c:v>-0.23716000000000095</c:v>
                </c:pt>
                <c:pt idx="13">
                  <c:v>-0.23232000000000019</c:v>
                </c:pt>
                <c:pt idx="14">
                  <c:v>-0.22748000000000118</c:v>
                </c:pt>
                <c:pt idx="15">
                  <c:v>-0.22264000000000042</c:v>
                </c:pt>
                <c:pt idx="16">
                  <c:v>-0.21780000000000138</c:v>
                </c:pt>
                <c:pt idx="17">
                  <c:v>-0.21296000000000062</c:v>
                </c:pt>
                <c:pt idx="18">
                  <c:v>-0.20811999999999986</c:v>
                </c:pt>
                <c:pt idx="19">
                  <c:v>-0.20328000000000082</c:v>
                </c:pt>
                <c:pt idx="20">
                  <c:v>-0.19844000000000006</c:v>
                </c:pt>
                <c:pt idx="21">
                  <c:v>-0.19360000000000105</c:v>
                </c:pt>
                <c:pt idx="22">
                  <c:v>-0.18876000000000029</c:v>
                </c:pt>
                <c:pt idx="23">
                  <c:v>-0.18392000000000125</c:v>
                </c:pt>
                <c:pt idx="24">
                  <c:v>-0.17908000000000049</c:v>
                </c:pt>
                <c:pt idx="25">
                  <c:v>-0.17424000000000145</c:v>
                </c:pt>
                <c:pt idx="26">
                  <c:v>-0.16940000000000069</c:v>
                </c:pt>
                <c:pt idx="27">
                  <c:v>-0.16455999999999993</c:v>
                </c:pt>
                <c:pt idx="28">
                  <c:v>-0.15972000000000092</c:v>
                </c:pt>
                <c:pt idx="29">
                  <c:v>-0.15488000000000016</c:v>
                </c:pt>
                <c:pt idx="30">
                  <c:v>-0.15004000000000112</c:v>
                </c:pt>
                <c:pt idx="31">
                  <c:v>-0.14520000000000036</c:v>
                </c:pt>
                <c:pt idx="32">
                  <c:v>-0.14036000000000129</c:v>
                </c:pt>
                <c:pt idx="33">
                  <c:v>-0.13552000000000056</c:v>
                </c:pt>
                <c:pt idx="34">
                  <c:v>-0.13068000000000152</c:v>
                </c:pt>
                <c:pt idx="35">
                  <c:v>-0.12584000000000076</c:v>
                </c:pt>
                <c:pt idx="36">
                  <c:v>-0.121</c:v>
                </c:pt>
                <c:pt idx="37">
                  <c:v>-0.11616000000000097</c:v>
                </c:pt>
                <c:pt idx="38">
                  <c:v>-0.11132000000000021</c:v>
                </c:pt>
                <c:pt idx="39">
                  <c:v>-0.10648000000000117</c:v>
                </c:pt>
                <c:pt idx="40">
                  <c:v>-0.10164000000000041</c:v>
                </c:pt>
                <c:pt idx="41">
                  <c:v>-9.6800000000001385E-2</c:v>
                </c:pt>
                <c:pt idx="42">
                  <c:v>-9.1960000000000625E-2</c:v>
                </c:pt>
                <c:pt idx="43">
                  <c:v>-8.7119999999999864E-2</c:v>
                </c:pt>
                <c:pt idx="44">
                  <c:v>-8.2280000000000839E-2</c:v>
                </c:pt>
                <c:pt idx="45">
                  <c:v>-7.7440000000000078E-2</c:v>
                </c:pt>
                <c:pt idx="46">
                  <c:v>-7.2600000000001025E-2</c:v>
                </c:pt>
                <c:pt idx="47">
                  <c:v>-6.7760000000000278E-2</c:v>
                </c:pt>
                <c:pt idx="48">
                  <c:v>-6.2920000000001239E-2</c:v>
                </c:pt>
                <c:pt idx="49">
                  <c:v>-5.8080000000000485E-2</c:v>
                </c:pt>
                <c:pt idx="50">
                  <c:v>-5.3240000000001446E-2</c:v>
                </c:pt>
                <c:pt idx="51">
                  <c:v>-4.8400000000000692E-2</c:v>
                </c:pt>
                <c:pt idx="52">
                  <c:v>-4.3559999999999932E-2</c:v>
                </c:pt>
                <c:pt idx="53">
                  <c:v>-3.8720000000000893E-2</c:v>
                </c:pt>
                <c:pt idx="54">
                  <c:v>-3.3880000000000139E-2</c:v>
                </c:pt>
                <c:pt idx="55">
                  <c:v>-2.90400000000011E-2</c:v>
                </c:pt>
                <c:pt idx="56">
                  <c:v>-2.4200000000000346E-2</c:v>
                </c:pt>
                <c:pt idx="57">
                  <c:v>-1.936000000000131E-2</c:v>
                </c:pt>
                <c:pt idx="58">
                  <c:v>-1.452000000000055E-2</c:v>
                </c:pt>
                <c:pt idx="59">
                  <c:v>-9.680000000001512E-3</c:v>
                </c:pt>
                <c:pt idx="60">
                  <c:v>-4.840000000000756E-3</c:v>
                </c:pt>
                <c:pt idx="61">
                  <c:v>0</c:v>
                </c:pt>
                <c:pt idx="62">
                  <c:v>4.8399999999990378E-3</c:v>
                </c:pt>
                <c:pt idx="63">
                  <c:v>9.6799999999997947E-3</c:v>
                </c:pt>
                <c:pt idx="64">
                  <c:v>1.4519999999998832E-2</c:v>
                </c:pt>
                <c:pt idx="65">
                  <c:v>1.9359999999999589E-2</c:v>
                </c:pt>
                <c:pt idx="66">
                  <c:v>2.4199999999998625E-2</c:v>
                </c:pt>
                <c:pt idx="67">
                  <c:v>2.9039999999999379E-2</c:v>
                </c:pt>
                <c:pt idx="68">
                  <c:v>3.3880000000000139E-2</c:v>
                </c:pt>
                <c:pt idx="69">
                  <c:v>3.8719999999999179E-2</c:v>
                </c:pt>
                <c:pt idx="70">
                  <c:v>4.3559999999999932E-2</c:v>
                </c:pt>
                <c:pt idx="71">
                  <c:v>4.8399999999998972E-2</c:v>
                </c:pt>
                <c:pt idx="72">
                  <c:v>5.3239999999999732E-2</c:v>
                </c:pt>
                <c:pt idx="73">
                  <c:v>5.8079999999998758E-2</c:v>
                </c:pt>
                <c:pt idx="74">
                  <c:v>6.2919999999999518E-2</c:v>
                </c:pt>
                <c:pt idx="75">
                  <c:v>6.7759999999998557E-2</c:v>
                </c:pt>
                <c:pt idx="76">
                  <c:v>7.2599999999999318E-2</c:v>
                </c:pt>
                <c:pt idx="77">
                  <c:v>7.7440000000000078E-2</c:v>
                </c:pt>
                <c:pt idx="78">
                  <c:v>8.2279999999999104E-2</c:v>
                </c:pt>
                <c:pt idx="79">
                  <c:v>8.7119999999999864E-2</c:v>
                </c:pt>
                <c:pt idx="80">
                  <c:v>9.1959999999998904E-2</c:v>
                </c:pt>
                <c:pt idx="81">
                  <c:v>9.679999999999965E-2</c:v>
                </c:pt>
                <c:pt idx="82">
                  <c:v>0.1016399999999987</c:v>
                </c:pt>
                <c:pt idx="83">
                  <c:v>0.10647999999999946</c:v>
                </c:pt>
                <c:pt idx="84">
                  <c:v>0.11131999999999849</c:v>
                </c:pt>
                <c:pt idx="85">
                  <c:v>0.11615999999999925</c:v>
                </c:pt>
                <c:pt idx="86">
                  <c:v>0.121</c:v>
                </c:pt>
                <c:pt idx="87">
                  <c:v>0.12583999999999904</c:v>
                </c:pt>
                <c:pt idx="88">
                  <c:v>0.1306799999999998</c:v>
                </c:pt>
                <c:pt idx="89">
                  <c:v>0.13551999999999884</c:v>
                </c:pt>
                <c:pt idx="90">
                  <c:v>0.1403599999999996</c:v>
                </c:pt>
                <c:pt idx="91">
                  <c:v>0.14519999999999864</c:v>
                </c:pt>
                <c:pt idx="92">
                  <c:v>0.1500399999999994</c:v>
                </c:pt>
                <c:pt idx="93">
                  <c:v>0.15488000000000016</c:v>
                </c:pt>
                <c:pt idx="94">
                  <c:v>0.15971999999999917</c:v>
                </c:pt>
                <c:pt idx="95">
                  <c:v>0.16455999999999993</c:v>
                </c:pt>
                <c:pt idx="96">
                  <c:v>0.16939999999999897</c:v>
                </c:pt>
                <c:pt idx="97">
                  <c:v>0.17423999999999973</c:v>
                </c:pt>
                <c:pt idx="98">
                  <c:v>0.17907999999999877</c:v>
                </c:pt>
                <c:pt idx="99">
                  <c:v>0.18391999999999953</c:v>
                </c:pt>
                <c:pt idx="100">
                  <c:v>0.18875999999999854</c:v>
                </c:pt>
                <c:pt idx="101">
                  <c:v>0.1935999999999993</c:v>
                </c:pt>
                <c:pt idx="102">
                  <c:v>0.19844000000000006</c:v>
                </c:pt>
                <c:pt idx="103">
                  <c:v>0.2032799999999991</c:v>
                </c:pt>
                <c:pt idx="104">
                  <c:v>0.20811999999999986</c:v>
                </c:pt>
                <c:pt idx="105">
                  <c:v>0.21295999999999893</c:v>
                </c:pt>
                <c:pt idx="106">
                  <c:v>0.21779999999999966</c:v>
                </c:pt>
                <c:pt idx="107">
                  <c:v>0.2226399999999987</c:v>
                </c:pt>
                <c:pt idx="108">
                  <c:v>0.22747999999999943</c:v>
                </c:pt>
                <c:pt idx="109">
                  <c:v>0.2323199999999985</c:v>
                </c:pt>
                <c:pt idx="110">
                  <c:v>0.23715999999999926</c:v>
                </c:pt>
                <c:pt idx="111">
                  <c:v>0.24199999999999999</c:v>
                </c:pt>
                <c:pt idx="112">
                  <c:v>0.24683999999999906</c:v>
                </c:pt>
                <c:pt idx="113">
                  <c:v>0.25167999999999979</c:v>
                </c:pt>
                <c:pt idx="114">
                  <c:v>0.2565199999999988</c:v>
                </c:pt>
                <c:pt idx="115">
                  <c:v>0.26135999999999959</c:v>
                </c:pt>
                <c:pt idx="116">
                  <c:v>0.2661999999999986</c:v>
                </c:pt>
                <c:pt idx="117">
                  <c:v>0.27103999999999939</c:v>
                </c:pt>
                <c:pt idx="118">
                  <c:v>0.27588000000000013</c:v>
                </c:pt>
                <c:pt idx="119">
                  <c:v>0.28071999999999919</c:v>
                </c:pt>
                <c:pt idx="120">
                  <c:v>0.28555999999999993</c:v>
                </c:pt>
                <c:pt idx="121">
                  <c:v>0.29039999999999894</c:v>
                </c:pt>
                <c:pt idx="122">
                  <c:v>0.29039999999999999</c:v>
                </c:pt>
                <c:pt idx="123">
                  <c:v>0.29039999999999999</c:v>
                </c:pt>
                <c:pt idx="124">
                  <c:v>0.29039999999999999</c:v>
                </c:pt>
                <c:pt idx="125">
                  <c:v>0.29039999999999999</c:v>
                </c:pt>
                <c:pt idx="126">
                  <c:v>0.29039999999999999</c:v>
                </c:pt>
                <c:pt idx="127">
                  <c:v>0.29039999999999999</c:v>
                </c:pt>
                <c:pt idx="128">
                  <c:v>0.29039999999999999</c:v>
                </c:pt>
                <c:pt idx="129">
                  <c:v>0.29039999999999999</c:v>
                </c:pt>
                <c:pt idx="130">
                  <c:v>0.29039999999999999</c:v>
                </c:pt>
                <c:pt idx="131">
                  <c:v>0.29039999999999999</c:v>
                </c:pt>
                <c:pt idx="132">
                  <c:v>0.29039999999999999</c:v>
                </c:pt>
                <c:pt idx="133">
                  <c:v>0.29039999999999999</c:v>
                </c:pt>
                <c:pt idx="134">
                  <c:v>0.29039999999999999</c:v>
                </c:pt>
                <c:pt idx="135">
                  <c:v>0.29039999999999999</c:v>
                </c:pt>
                <c:pt idx="136">
                  <c:v>0.29039999999999999</c:v>
                </c:pt>
                <c:pt idx="137">
                  <c:v>0.29039999999999999</c:v>
                </c:pt>
                <c:pt idx="138">
                  <c:v>0.29039999999999999</c:v>
                </c:pt>
                <c:pt idx="139">
                  <c:v>0.29039999999999999</c:v>
                </c:pt>
                <c:pt idx="140">
                  <c:v>0.29039999999999999</c:v>
                </c:pt>
                <c:pt idx="141">
                  <c:v>0.29039999999999999</c:v>
                </c:pt>
                <c:pt idx="142">
                  <c:v>0.29039999999999999</c:v>
                </c:pt>
                <c:pt idx="143">
                  <c:v>0.29039999999999999</c:v>
                </c:pt>
                <c:pt idx="144">
                  <c:v>0.29039999999999999</c:v>
                </c:pt>
                <c:pt idx="145">
                  <c:v>0.29039999999999999</c:v>
                </c:pt>
                <c:pt idx="146">
                  <c:v>0.29039999999999999</c:v>
                </c:pt>
                <c:pt idx="147">
                  <c:v>0.29039999999999999</c:v>
                </c:pt>
                <c:pt idx="148">
                  <c:v>0.29039999999999999</c:v>
                </c:pt>
                <c:pt idx="149">
                  <c:v>0.29039999999999999</c:v>
                </c:pt>
                <c:pt idx="150">
                  <c:v>0.29039999999999999</c:v>
                </c:pt>
                <c:pt idx="151">
                  <c:v>0.29039999999999999</c:v>
                </c:pt>
                <c:pt idx="152">
                  <c:v>0.29039999999999999</c:v>
                </c:pt>
                <c:pt idx="153">
                  <c:v>0.29039999999999999</c:v>
                </c:pt>
                <c:pt idx="154">
                  <c:v>0.29039999999999999</c:v>
                </c:pt>
                <c:pt idx="155">
                  <c:v>0.29039999999999999</c:v>
                </c:pt>
                <c:pt idx="156">
                  <c:v>0.29039999999999999</c:v>
                </c:pt>
                <c:pt idx="157">
                  <c:v>0.29039999999999999</c:v>
                </c:pt>
                <c:pt idx="158">
                  <c:v>0.29039999999999999</c:v>
                </c:pt>
                <c:pt idx="159">
                  <c:v>0.29039999999999999</c:v>
                </c:pt>
                <c:pt idx="160">
                  <c:v>0.29039999999999999</c:v>
                </c:pt>
                <c:pt idx="161">
                  <c:v>0.29039999999999999</c:v>
                </c:pt>
                <c:pt idx="162">
                  <c:v>0.29039999999999999</c:v>
                </c:pt>
                <c:pt idx="163">
                  <c:v>0.29039999999999999</c:v>
                </c:pt>
                <c:pt idx="164">
                  <c:v>0.29039999999999999</c:v>
                </c:pt>
                <c:pt idx="165">
                  <c:v>0.29039999999999999</c:v>
                </c:pt>
                <c:pt idx="166">
                  <c:v>0.29039999999999999</c:v>
                </c:pt>
                <c:pt idx="167">
                  <c:v>0.29039999999999999</c:v>
                </c:pt>
                <c:pt idx="168">
                  <c:v>0.29039999999999999</c:v>
                </c:pt>
                <c:pt idx="169">
                  <c:v>0.29039999999999999</c:v>
                </c:pt>
                <c:pt idx="170">
                  <c:v>0.29039999999999999</c:v>
                </c:pt>
                <c:pt idx="171">
                  <c:v>0.29039999999999999</c:v>
                </c:pt>
                <c:pt idx="172">
                  <c:v>0.29039999999999999</c:v>
                </c:pt>
                <c:pt idx="173">
                  <c:v>0.29039999999999999</c:v>
                </c:pt>
                <c:pt idx="174">
                  <c:v>0.29039999999999999</c:v>
                </c:pt>
                <c:pt idx="175">
                  <c:v>0.29039999999999999</c:v>
                </c:pt>
                <c:pt idx="176">
                  <c:v>0.29039999999999999</c:v>
                </c:pt>
                <c:pt idx="177">
                  <c:v>0.29039999999999999</c:v>
                </c:pt>
                <c:pt idx="178">
                  <c:v>0.29039999999999999</c:v>
                </c:pt>
                <c:pt idx="179">
                  <c:v>0.29039999999999999</c:v>
                </c:pt>
                <c:pt idx="180">
                  <c:v>0.29039999999999999</c:v>
                </c:pt>
                <c:pt idx="181">
                  <c:v>0.29039999999999999</c:v>
                </c:pt>
                <c:pt idx="182">
                  <c:v>0.29039999999999999</c:v>
                </c:pt>
                <c:pt idx="183">
                  <c:v>0.29039999999999999</c:v>
                </c:pt>
                <c:pt idx="184">
                  <c:v>0.29039999999999999</c:v>
                </c:pt>
                <c:pt idx="185">
                  <c:v>0.29039999999999999</c:v>
                </c:pt>
                <c:pt idx="186">
                  <c:v>0.29039999999999999</c:v>
                </c:pt>
                <c:pt idx="187">
                  <c:v>0.29039999999999999</c:v>
                </c:pt>
                <c:pt idx="188">
                  <c:v>0.29039999999999999</c:v>
                </c:pt>
                <c:pt idx="189">
                  <c:v>0.29039999999999999</c:v>
                </c:pt>
                <c:pt idx="190">
                  <c:v>0.29039999999999999</c:v>
                </c:pt>
                <c:pt idx="191">
                  <c:v>0.29039999999999999</c:v>
                </c:pt>
                <c:pt idx="192">
                  <c:v>0.29039999999999999</c:v>
                </c:pt>
                <c:pt idx="193">
                  <c:v>0.29039999999999999</c:v>
                </c:pt>
                <c:pt idx="194">
                  <c:v>0.29039999999999999</c:v>
                </c:pt>
                <c:pt idx="195">
                  <c:v>0.29039999999999999</c:v>
                </c:pt>
                <c:pt idx="196">
                  <c:v>0.29039999999999999</c:v>
                </c:pt>
                <c:pt idx="197">
                  <c:v>0.29039999999999999</c:v>
                </c:pt>
                <c:pt idx="198">
                  <c:v>0.29039999999999999</c:v>
                </c:pt>
                <c:pt idx="199">
                  <c:v>0.29039999999999999</c:v>
                </c:pt>
                <c:pt idx="200">
                  <c:v>0.29039999999999999</c:v>
                </c:pt>
                <c:pt idx="201">
                  <c:v>0.29039999999999999</c:v>
                </c:pt>
                <c:pt idx="202">
                  <c:v>0.29039999999999999</c:v>
                </c:pt>
                <c:pt idx="203">
                  <c:v>0.29039999999999999</c:v>
                </c:pt>
                <c:pt idx="204">
                  <c:v>0.29039999999999999</c:v>
                </c:pt>
                <c:pt idx="205">
                  <c:v>0.29039999999999999</c:v>
                </c:pt>
                <c:pt idx="206">
                  <c:v>0.29039999999999999</c:v>
                </c:pt>
                <c:pt idx="207">
                  <c:v>0.29039999999999999</c:v>
                </c:pt>
                <c:pt idx="208">
                  <c:v>0.29039999999999999</c:v>
                </c:pt>
                <c:pt idx="209">
                  <c:v>0.29039999999999999</c:v>
                </c:pt>
                <c:pt idx="210">
                  <c:v>0.29039999999999999</c:v>
                </c:pt>
                <c:pt idx="211">
                  <c:v>0.29039999999999999</c:v>
                </c:pt>
                <c:pt idx="212">
                  <c:v>0.29039999999999999</c:v>
                </c:pt>
                <c:pt idx="213">
                  <c:v>0.29039999999999999</c:v>
                </c:pt>
                <c:pt idx="214">
                  <c:v>0.29039999999999999</c:v>
                </c:pt>
                <c:pt idx="215">
                  <c:v>0.29039999999999999</c:v>
                </c:pt>
                <c:pt idx="216">
                  <c:v>0.29039999999999999</c:v>
                </c:pt>
                <c:pt idx="217">
                  <c:v>0.29039999999999999</c:v>
                </c:pt>
                <c:pt idx="218">
                  <c:v>0.29039999999999999</c:v>
                </c:pt>
                <c:pt idx="219">
                  <c:v>0.29039999999999999</c:v>
                </c:pt>
                <c:pt idx="220">
                  <c:v>0.29039999999999999</c:v>
                </c:pt>
                <c:pt idx="221">
                  <c:v>0.29039999999999999</c:v>
                </c:pt>
                <c:pt idx="222">
                  <c:v>0.29039999999999999</c:v>
                </c:pt>
                <c:pt idx="223">
                  <c:v>0.29039999999999999</c:v>
                </c:pt>
                <c:pt idx="224">
                  <c:v>0.29039999999999999</c:v>
                </c:pt>
                <c:pt idx="225">
                  <c:v>0.29039999999999999</c:v>
                </c:pt>
                <c:pt idx="226">
                  <c:v>0.29039999999999999</c:v>
                </c:pt>
                <c:pt idx="227">
                  <c:v>0.29039999999999999</c:v>
                </c:pt>
                <c:pt idx="228">
                  <c:v>0.29039999999999999</c:v>
                </c:pt>
                <c:pt idx="229">
                  <c:v>0.29039999999999999</c:v>
                </c:pt>
                <c:pt idx="230">
                  <c:v>0.29039999999999999</c:v>
                </c:pt>
                <c:pt idx="231">
                  <c:v>0.29039999999999999</c:v>
                </c:pt>
                <c:pt idx="232">
                  <c:v>0.29039999999999999</c:v>
                </c:pt>
                <c:pt idx="233">
                  <c:v>0.29039999999999999</c:v>
                </c:pt>
                <c:pt idx="234">
                  <c:v>0.29039999999999999</c:v>
                </c:pt>
                <c:pt idx="235">
                  <c:v>0.29039999999999999</c:v>
                </c:pt>
                <c:pt idx="236">
                  <c:v>0.29039999999999999</c:v>
                </c:pt>
                <c:pt idx="237">
                  <c:v>0.29039999999999999</c:v>
                </c:pt>
                <c:pt idx="238">
                  <c:v>0.29039999999999999</c:v>
                </c:pt>
                <c:pt idx="239">
                  <c:v>0.29039999999999999</c:v>
                </c:pt>
                <c:pt idx="240">
                  <c:v>0.29039999999999999</c:v>
                </c:pt>
                <c:pt idx="241">
                  <c:v>0.29039999999999999</c:v>
                </c:pt>
                <c:pt idx="242">
                  <c:v>0.29039999999999999</c:v>
                </c:pt>
                <c:pt idx="243">
                  <c:v>0.29039999999999999</c:v>
                </c:pt>
                <c:pt idx="244">
                  <c:v>0.29039999999999999</c:v>
                </c:pt>
                <c:pt idx="245">
                  <c:v>0.29039999999999999</c:v>
                </c:pt>
                <c:pt idx="246">
                  <c:v>0.29039999999999999</c:v>
                </c:pt>
                <c:pt idx="247">
                  <c:v>0.29039999999999999</c:v>
                </c:pt>
                <c:pt idx="248">
                  <c:v>0.29039999999999999</c:v>
                </c:pt>
                <c:pt idx="249">
                  <c:v>0.29039999999999999</c:v>
                </c:pt>
                <c:pt idx="250">
                  <c:v>0.29039999999999999</c:v>
                </c:pt>
                <c:pt idx="251">
                  <c:v>0.29039999999999999</c:v>
                </c:pt>
                <c:pt idx="252">
                  <c:v>0.29039999999999999</c:v>
                </c:pt>
                <c:pt idx="253">
                  <c:v>0.29039999999999999</c:v>
                </c:pt>
                <c:pt idx="254">
                  <c:v>0.29039999999999999</c:v>
                </c:pt>
                <c:pt idx="255">
                  <c:v>0.29039999999999999</c:v>
                </c:pt>
                <c:pt idx="256">
                  <c:v>0.29039999999999999</c:v>
                </c:pt>
                <c:pt idx="257">
                  <c:v>0.29039999999999999</c:v>
                </c:pt>
                <c:pt idx="258">
                  <c:v>0.29039999999999999</c:v>
                </c:pt>
                <c:pt idx="259">
                  <c:v>0.29039999999999999</c:v>
                </c:pt>
                <c:pt idx="260">
                  <c:v>0.29039999999999999</c:v>
                </c:pt>
                <c:pt idx="261">
                  <c:v>0.29039999999999999</c:v>
                </c:pt>
                <c:pt idx="262">
                  <c:v>0.29039999999999999</c:v>
                </c:pt>
                <c:pt idx="263">
                  <c:v>0.29039999999999999</c:v>
                </c:pt>
                <c:pt idx="264">
                  <c:v>0.29039999999999999</c:v>
                </c:pt>
                <c:pt idx="265">
                  <c:v>0.29039999999999999</c:v>
                </c:pt>
                <c:pt idx="266">
                  <c:v>0.29039999999999999</c:v>
                </c:pt>
                <c:pt idx="267">
                  <c:v>0.29039999999999999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C1-4B19-AE48-1DF812A9CDE0}"/>
            </c:ext>
          </c:extLst>
        </c:ser>
        <c:ser>
          <c:idx val="3"/>
          <c:order val="1"/>
          <c:tx>
            <c:strRef>
              <c:f>Wertetabelle!$K$1</c:f>
              <c:strCache>
                <c:ptCount val="1"/>
                <c:pt idx="0">
                  <c:v>Qkap-Grenze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Wertetabelle!$F$2:$F$269</c:f>
              <c:numCache>
                <c:formatCode>0.00</c:formatCode>
                <c:ptCount val="268"/>
                <c:pt idx="0">
                  <c:v>18.5</c:v>
                </c:pt>
                <c:pt idx="1">
                  <c:v>19</c:v>
                </c:pt>
                <c:pt idx="2">
                  <c:v>19.010000000000002</c:v>
                </c:pt>
                <c:pt idx="3">
                  <c:v>19.02</c:v>
                </c:pt>
                <c:pt idx="4">
                  <c:v>19.03</c:v>
                </c:pt>
                <c:pt idx="5">
                  <c:v>19.04</c:v>
                </c:pt>
                <c:pt idx="6">
                  <c:v>19.05</c:v>
                </c:pt>
                <c:pt idx="7">
                  <c:v>19.059999999999999</c:v>
                </c:pt>
                <c:pt idx="8">
                  <c:v>19.07</c:v>
                </c:pt>
                <c:pt idx="9">
                  <c:v>19.079999999999998</c:v>
                </c:pt>
                <c:pt idx="10">
                  <c:v>19.09</c:v>
                </c:pt>
                <c:pt idx="11">
                  <c:v>19.100000000000001</c:v>
                </c:pt>
                <c:pt idx="12">
                  <c:v>19.11</c:v>
                </c:pt>
                <c:pt idx="13">
                  <c:v>19.12</c:v>
                </c:pt>
                <c:pt idx="14">
                  <c:v>19.13</c:v>
                </c:pt>
                <c:pt idx="15">
                  <c:v>19.14</c:v>
                </c:pt>
                <c:pt idx="16">
                  <c:v>19.149999999999999</c:v>
                </c:pt>
                <c:pt idx="17">
                  <c:v>19.16</c:v>
                </c:pt>
                <c:pt idx="18">
                  <c:v>19.170000000000002</c:v>
                </c:pt>
                <c:pt idx="19">
                  <c:v>19.18</c:v>
                </c:pt>
                <c:pt idx="20">
                  <c:v>19.190000000000001</c:v>
                </c:pt>
                <c:pt idx="21">
                  <c:v>19.2</c:v>
                </c:pt>
                <c:pt idx="22">
                  <c:v>19.21</c:v>
                </c:pt>
                <c:pt idx="23">
                  <c:v>19.22</c:v>
                </c:pt>
                <c:pt idx="24">
                  <c:v>19.23</c:v>
                </c:pt>
                <c:pt idx="25">
                  <c:v>19.239999999999998</c:v>
                </c:pt>
                <c:pt idx="26">
                  <c:v>19.25</c:v>
                </c:pt>
                <c:pt idx="27">
                  <c:v>19.260000000000002</c:v>
                </c:pt>
                <c:pt idx="28">
                  <c:v>19.2699999999999</c:v>
                </c:pt>
                <c:pt idx="29">
                  <c:v>19.279999999999902</c:v>
                </c:pt>
                <c:pt idx="30">
                  <c:v>19.2899999999999</c:v>
                </c:pt>
                <c:pt idx="31">
                  <c:v>19.299999999999901</c:v>
                </c:pt>
                <c:pt idx="32">
                  <c:v>19.309999999999899</c:v>
                </c:pt>
                <c:pt idx="33">
                  <c:v>19.319999999999901</c:v>
                </c:pt>
                <c:pt idx="34">
                  <c:v>19.329999999999899</c:v>
                </c:pt>
                <c:pt idx="35">
                  <c:v>19.3399999999999</c:v>
                </c:pt>
                <c:pt idx="36">
                  <c:v>19.349999999999898</c:v>
                </c:pt>
                <c:pt idx="37">
                  <c:v>19.3599999999999</c:v>
                </c:pt>
                <c:pt idx="38">
                  <c:v>19.369999999999902</c:v>
                </c:pt>
                <c:pt idx="39">
                  <c:v>19.3799999999999</c:v>
                </c:pt>
                <c:pt idx="40">
                  <c:v>19.389999999999901</c:v>
                </c:pt>
                <c:pt idx="41">
                  <c:v>19.399999999999899</c:v>
                </c:pt>
                <c:pt idx="42">
                  <c:v>19.409999999999901</c:v>
                </c:pt>
                <c:pt idx="43">
                  <c:v>19.419999999999899</c:v>
                </c:pt>
                <c:pt idx="44">
                  <c:v>19.4299999999999</c:v>
                </c:pt>
                <c:pt idx="45">
                  <c:v>19.439999999999898</c:v>
                </c:pt>
                <c:pt idx="46">
                  <c:v>19.4499999999999</c:v>
                </c:pt>
                <c:pt idx="47">
                  <c:v>19.459999999999901</c:v>
                </c:pt>
                <c:pt idx="48">
                  <c:v>19.469999999999899</c:v>
                </c:pt>
                <c:pt idx="49">
                  <c:v>19.479999999999901</c:v>
                </c:pt>
                <c:pt idx="50">
                  <c:v>19.489999999999899</c:v>
                </c:pt>
                <c:pt idx="51">
                  <c:v>19.499999999999901</c:v>
                </c:pt>
                <c:pt idx="52">
                  <c:v>19.509999999999899</c:v>
                </c:pt>
                <c:pt idx="53">
                  <c:v>19.5199999999999</c:v>
                </c:pt>
                <c:pt idx="54">
                  <c:v>19.529999999999902</c:v>
                </c:pt>
                <c:pt idx="55">
                  <c:v>19.5399999999999</c:v>
                </c:pt>
                <c:pt idx="56">
                  <c:v>19.549999999999901</c:v>
                </c:pt>
                <c:pt idx="57">
                  <c:v>19.559999999999899</c:v>
                </c:pt>
                <c:pt idx="58">
                  <c:v>19.569999999999901</c:v>
                </c:pt>
                <c:pt idx="59">
                  <c:v>19.579999999999899</c:v>
                </c:pt>
                <c:pt idx="60">
                  <c:v>19.5899999999999</c:v>
                </c:pt>
                <c:pt idx="61">
                  <c:v>19.599999999999898</c:v>
                </c:pt>
                <c:pt idx="62">
                  <c:v>19.6099999999999</c:v>
                </c:pt>
                <c:pt idx="63">
                  <c:v>19.619999999999902</c:v>
                </c:pt>
                <c:pt idx="64">
                  <c:v>19.6299999999999</c:v>
                </c:pt>
                <c:pt idx="65">
                  <c:v>19.639999999999901</c:v>
                </c:pt>
                <c:pt idx="66">
                  <c:v>19.649999999999899</c:v>
                </c:pt>
                <c:pt idx="67">
                  <c:v>19.659999999999901</c:v>
                </c:pt>
                <c:pt idx="68">
                  <c:v>19.669999999999899</c:v>
                </c:pt>
                <c:pt idx="69">
                  <c:v>19.6799999999999</c:v>
                </c:pt>
                <c:pt idx="70">
                  <c:v>19.689999999999898</c:v>
                </c:pt>
                <c:pt idx="71">
                  <c:v>19.6999999999999</c:v>
                </c:pt>
                <c:pt idx="72">
                  <c:v>19.709999999999901</c:v>
                </c:pt>
                <c:pt idx="73">
                  <c:v>19.719999999999899</c:v>
                </c:pt>
                <c:pt idx="74">
                  <c:v>19.729999999999901</c:v>
                </c:pt>
                <c:pt idx="75">
                  <c:v>19.739999999999899</c:v>
                </c:pt>
                <c:pt idx="76">
                  <c:v>19.749999999999901</c:v>
                </c:pt>
                <c:pt idx="77">
                  <c:v>19.759999999999899</c:v>
                </c:pt>
                <c:pt idx="78">
                  <c:v>19.7699999999999</c:v>
                </c:pt>
                <c:pt idx="79">
                  <c:v>19.779999999999799</c:v>
                </c:pt>
                <c:pt idx="80">
                  <c:v>19.7899999999998</c:v>
                </c:pt>
                <c:pt idx="81">
                  <c:v>19.799999999999802</c:v>
                </c:pt>
                <c:pt idx="82">
                  <c:v>19.8099999999998</c:v>
                </c:pt>
                <c:pt idx="83">
                  <c:v>19.819999999999801</c:v>
                </c:pt>
                <c:pt idx="84">
                  <c:v>19.829999999999799</c:v>
                </c:pt>
                <c:pt idx="85">
                  <c:v>19.839999999999801</c:v>
                </c:pt>
                <c:pt idx="86">
                  <c:v>19.849999999999799</c:v>
                </c:pt>
                <c:pt idx="87">
                  <c:v>19.8599999999998</c:v>
                </c:pt>
                <c:pt idx="88">
                  <c:v>19.869999999999798</c:v>
                </c:pt>
                <c:pt idx="89">
                  <c:v>19.8799999999998</c:v>
                </c:pt>
                <c:pt idx="90">
                  <c:v>19.889999999999802</c:v>
                </c:pt>
                <c:pt idx="91">
                  <c:v>19.8999999999998</c:v>
                </c:pt>
                <c:pt idx="92">
                  <c:v>19.909999999999801</c:v>
                </c:pt>
                <c:pt idx="93">
                  <c:v>19.919999999999799</c:v>
                </c:pt>
                <c:pt idx="94">
                  <c:v>19.929999999999801</c:v>
                </c:pt>
                <c:pt idx="95">
                  <c:v>19.939999999999799</c:v>
                </c:pt>
                <c:pt idx="96">
                  <c:v>19.9499999999998</c:v>
                </c:pt>
                <c:pt idx="97">
                  <c:v>19.959999999999798</c:v>
                </c:pt>
                <c:pt idx="98">
                  <c:v>19.9699999999998</c:v>
                </c:pt>
                <c:pt idx="99">
                  <c:v>19.979999999999801</c:v>
                </c:pt>
                <c:pt idx="100">
                  <c:v>19.989999999999799</c:v>
                </c:pt>
                <c:pt idx="101">
                  <c:v>19.999999999999801</c:v>
                </c:pt>
                <c:pt idx="102">
                  <c:v>20.009999999999799</c:v>
                </c:pt>
                <c:pt idx="103">
                  <c:v>20.019999999999804</c:v>
                </c:pt>
                <c:pt idx="104">
                  <c:v>20.029999999999795</c:v>
                </c:pt>
                <c:pt idx="105">
                  <c:v>20.0399999999998</c:v>
                </c:pt>
                <c:pt idx="106">
                  <c:v>20.049999999999805</c:v>
                </c:pt>
                <c:pt idx="107">
                  <c:v>20.059999999999796</c:v>
                </c:pt>
                <c:pt idx="108">
                  <c:v>20.069999999999801</c:v>
                </c:pt>
                <c:pt idx="109">
                  <c:v>20.079999999999799</c:v>
                </c:pt>
                <c:pt idx="110">
                  <c:v>20.089999999999797</c:v>
                </c:pt>
                <c:pt idx="111">
                  <c:v>20.099999999999799</c:v>
                </c:pt>
                <c:pt idx="112">
                  <c:v>20.1099999999998</c:v>
                </c:pt>
                <c:pt idx="113">
                  <c:v>20.119999999999798</c:v>
                </c:pt>
                <c:pt idx="114">
                  <c:v>20.1299999999998</c:v>
                </c:pt>
                <c:pt idx="115">
                  <c:v>20.139999999999802</c:v>
                </c:pt>
                <c:pt idx="116">
                  <c:v>20.1499999999998</c:v>
                </c:pt>
                <c:pt idx="117">
                  <c:v>20.159999999999801</c:v>
                </c:pt>
                <c:pt idx="118">
                  <c:v>20.169999999999799</c:v>
                </c:pt>
                <c:pt idx="119">
                  <c:v>20.179999999999801</c:v>
                </c:pt>
                <c:pt idx="120">
                  <c:v>20.189999999999799</c:v>
                </c:pt>
                <c:pt idx="121">
                  <c:v>20.1999999999998</c:v>
                </c:pt>
                <c:pt idx="122">
                  <c:v>20.209999999999798</c:v>
                </c:pt>
                <c:pt idx="123">
                  <c:v>20.2199999999998</c:v>
                </c:pt>
                <c:pt idx="124">
                  <c:v>20.229999999999801</c:v>
                </c:pt>
                <c:pt idx="125">
                  <c:v>20.239999999999799</c:v>
                </c:pt>
                <c:pt idx="126">
                  <c:v>20.249999999999801</c:v>
                </c:pt>
                <c:pt idx="127">
                  <c:v>20.259999999999799</c:v>
                </c:pt>
                <c:pt idx="128">
                  <c:v>20.269999999999801</c:v>
                </c:pt>
                <c:pt idx="129">
                  <c:v>20.279999999999802</c:v>
                </c:pt>
                <c:pt idx="130">
                  <c:v>20.2899999999998</c:v>
                </c:pt>
                <c:pt idx="131">
                  <c:v>20.299999999999699</c:v>
                </c:pt>
                <c:pt idx="132">
                  <c:v>20.3099999999997</c:v>
                </c:pt>
                <c:pt idx="133">
                  <c:v>20.319999999999698</c:v>
                </c:pt>
                <c:pt idx="134">
                  <c:v>20.3299999999997</c:v>
                </c:pt>
                <c:pt idx="135">
                  <c:v>20.339999999999701</c:v>
                </c:pt>
                <c:pt idx="136">
                  <c:v>20.349999999999699</c:v>
                </c:pt>
                <c:pt idx="137">
                  <c:v>20.359999999999701</c:v>
                </c:pt>
                <c:pt idx="138">
                  <c:v>20.369999999999699</c:v>
                </c:pt>
                <c:pt idx="139">
                  <c:v>20.379999999999701</c:v>
                </c:pt>
                <c:pt idx="140">
                  <c:v>20.389999999999699</c:v>
                </c:pt>
                <c:pt idx="141">
                  <c:v>20.3999999999997</c:v>
                </c:pt>
                <c:pt idx="142">
                  <c:v>20.409999999999702</c:v>
                </c:pt>
                <c:pt idx="143">
                  <c:v>20.4199999999997</c:v>
                </c:pt>
                <c:pt idx="144">
                  <c:v>20.429999999999701</c:v>
                </c:pt>
                <c:pt idx="145">
                  <c:v>20.439999999999699</c:v>
                </c:pt>
                <c:pt idx="146">
                  <c:v>20.449999999999701</c:v>
                </c:pt>
                <c:pt idx="147">
                  <c:v>20.459999999999702</c:v>
                </c:pt>
                <c:pt idx="148">
                  <c:v>20.4699999999997</c:v>
                </c:pt>
                <c:pt idx="149">
                  <c:v>20.479999999999698</c:v>
                </c:pt>
                <c:pt idx="150">
                  <c:v>20.489999999999704</c:v>
                </c:pt>
                <c:pt idx="151">
                  <c:v>20.499999999999702</c:v>
                </c:pt>
                <c:pt idx="152">
                  <c:v>20.5099999999997</c:v>
                </c:pt>
                <c:pt idx="153">
                  <c:v>20.519999999999705</c:v>
                </c:pt>
                <c:pt idx="154">
                  <c:v>20.529999999999696</c:v>
                </c:pt>
                <c:pt idx="155">
                  <c:v>20.539999999999701</c:v>
                </c:pt>
                <c:pt idx="156">
                  <c:v>20.549999999999699</c:v>
                </c:pt>
                <c:pt idx="157">
                  <c:v>20.559999999999697</c:v>
                </c:pt>
                <c:pt idx="158">
                  <c:v>20.569999999999698</c:v>
                </c:pt>
                <c:pt idx="159">
                  <c:v>20.5799999999997</c:v>
                </c:pt>
                <c:pt idx="160">
                  <c:v>20.589999999999698</c:v>
                </c:pt>
                <c:pt idx="161">
                  <c:v>20.599999999999699</c:v>
                </c:pt>
                <c:pt idx="162">
                  <c:v>20.609999999999701</c:v>
                </c:pt>
                <c:pt idx="163">
                  <c:v>20.619999999999699</c:v>
                </c:pt>
                <c:pt idx="164">
                  <c:v>20.629999999999701</c:v>
                </c:pt>
                <c:pt idx="165">
                  <c:v>20.639999999999699</c:v>
                </c:pt>
                <c:pt idx="166">
                  <c:v>20.6499999999997</c:v>
                </c:pt>
                <c:pt idx="167">
                  <c:v>20.659999999999702</c:v>
                </c:pt>
                <c:pt idx="168">
                  <c:v>20.6699999999997</c:v>
                </c:pt>
                <c:pt idx="169">
                  <c:v>20.679999999999701</c:v>
                </c:pt>
                <c:pt idx="170">
                  <c:v>20.689999999999699</c:v>
                </c:pt>
                <c:pt idx="171">
                  <c:v>20.699999999999701</c:v>
                </c:pt>
                <c:pt idx="172">
                  <c:v>20.709999999999699</c:v>
                </c:pt>
                <c:pt idx="173">
                  <c:v>20.7199999999997</c:v>
                </c:pt>
                <c:pt idx="174">
                  <c:v>20.729999999999698</c:v>
                </c:pt>
                <c:pt idx="175">
                  <c:v>20.7399999999997</c:v>
                </c:pt>
                <c:pt idx="176">
                  <c:v>20.749999999999702</c:v>
                </c:pt>
                <c:pt idx="177">
                  <c:v>20.7599999999996</c:v>
                </c:pt>
                <c:pt idx="178">
                  <c:v>20.769999999999701</c:v>
                </c:pt>
                <c:pt idx="179">
                  <c:v>20.779999999999703</c:v>
                </c:pt>
                <c:pt idx="180">
                  <c:v>20.789999999999701</c:v>
                </c:pt>
                <c:pt idx="181">
                  <c:v>20.799999999999599</c:v>
                </c:pt>
                <c:pt idx="182">
                  <c:v>20.809999999999601</c:v>
                </c:pt>
                <c:pt idx="183">
                  <c:v>20.819999999999599</c:v>
                </c:pt>
                <c:pt idx="184">
                  <c:v>20.8299999999996</c:v>
                </c:pt>
                <c:pt idx="185">
                  <c:v>20.839999999999598</c:v>
                </c:pt>
                <c:pt idx="186">
                  <c:v>20.8499999999996</c:v>
                </c:pt>
                <c:pt idx="187">
                  <c:v>20.859999999999602</c:v>
                </c:pt>
                <c:pt idx="188">
                  <c:v>20.8699999999996</c:v>
                </c:pt>
                <c:pt idx="189">
                  <c:v>20.879999999999601</c:v>
                </c:pt>
                <c:pt idx="190">
                  <c:v>20.889999999999599</c:v>
                </c:pt>
                <c:pt idx="191">
                  <c:v>20.899999999999601</c:v>
                </c:pt>
                <c:pt idx="192">
                  <c:v>20.909999999999599</c:v>
                </c:pt>
                <c:pt idx="193">
                  <c:v>20.9199999999996</c:v>
                </c:pt>
                <c:pt idx="194">
                  <c:v>20.929999999999602</c:v>
                </c:pt>
                <c:pt idx="195">
                  <c:v>20.9399999999996</c:v>
                </c:pt>
                <c:pt idx="196">
                  <c:v>20.949999999999601</c:v>
                </c:pt>
                <c:pt idx="197">
                  <c:v>20.959999999999603</c:v>
                </c:pt>
                <c:pt idx="198">
                  <c:v>20.969999999999601</c:v>
                </c:pt>
                <c:pt idx="199">
                  <c:v>20.979999999999599</c:v>
                </c:pt>
                <c:pt idx="200">
                  <c:v>20.989999999999604</c:v>
                </c:pt>
                <c:pt idx="201">
                  <c:v>20.999999999999595</c:v>
                </c:pt>
                <c:pt idx="202">
                  <c:v>21.0099999999996</c:v>
                </c:pt>
                <c:pt idx="203">
                  <c:v>21.019999999999605</c:v>
                </c:pt>
                <c:pt idx="204">
                  <c:v>21.029999999999596</c:v>
                </c:pt>
                <c:pt idx="205">
                  <c:v>21.039999999999601</c:v>
                </c:pt>
                <c:pt idx="206">
                  <c:v>21.049999999999599</c:v>
                </c:pt>
                <c:pt idx="207">
                  <c:v>21.059999999999597</c:v>
                </c:pt>
                <c:pt idx="208">
                  <c:v>21.069999999999599</c:v>
                </c:pt>
                <c:pt idx="209">
                  <c:v>21.0799999999996</c:v>
                </c:pt>
                <c:pt idx="210">
                  <c:v>21.089999999999598</c:v>
                </c:pt>
                <c:pt idx="211">
                  <c:v>21.0999999999996</c:v>
                </c:pt>
                <c:pt idx="212">
                  <c:v>21.109999999999602</c:v>
                </c:pt>
                <c:pt idx="213">
                  <c:v>21.1199999999996</c:v>
                </c:pt>
                <c:pt idx="214">
                  <c:v>21.129999999999601</c:v>
                </c:pt>
                <c:pt idx="215">
                  <c:v>21.139999999999599</c:v>
                </c:pt>
                <c:pt idx="216">
                  <c:v>21.149999999999601</c:v>
                </c:pt>
                <c:pt idx="217">
                  <c:v>21.159999999999599</c:v>
                </c:pt>
                <c:pt idx="218">
                  <c:v>21.1699999999996</c:v>
                </c:pt>
                <c:pt idx="219">
                  <c:v>21.179999999999598</c:v>
                </c:pt>
                <c:pt idx="220">
                  <c:v>21.1899999999996</c:v>
                </c:pt>
                <c:pt idx="221">
                  <c:v>21.199999999999601</c:v>
                </c:pt>
                <c:pt idx="222">
                  <c:v>21.209999999999599</c:v>
                </c:pt>
                <c:pt idx="223">
                  <c:v>21.219999999999601</c:v>
                </c:pt>
                <c:pt idx="224">
                  <c:v>21.229999999999599</c:v>
                </c:pt>
                <c:pt idx="225">
                  <c:v>21.239999999999601</c:v>
                </c:pt>
                <c:pt idx="226">
                  <c:v>21.249999999999602</c:v>
                </c:pt>
                <c:pt idx="227">
                  <c:v>21.2599999999996</c:v>
                </c:pt>
                <c:pt idx="228">
                  <c:v>21.269999999999602</c:v>
                </c:pt>
                <c:pt idx="229">
                  <c:v>21.279999999999603</c:v>
                </c:pt>
                <c:pt idx="230">
                  <c:v>21.289999999999601</c:v>
                </c:pt>
                <c:pt idx="231">
                  <c:v>21.2999999999995</c:v>
                </c:pt>
                <c:pt idx="232">
                  <c:v>21.309999999999501</c:v>
                </c:pt>
                <c:pt idx="233">
                  <c:v>21.319999999999499</c:v>
                </c:pt>
                <c:pt idx="234">
                  <c:v>21.329999999999501</c:v>
                </c:pt>
                <c:pt idx="235">
                  <c:v>21.339999999999499</c:v>
                </c:pt>
                <c:pt idx="236">
                  <c:v>21.3499999999995</c:v>
                </c:pt>
                <c:pt idx="237">
                  <c:v>21.359999999999498</c:v>
                </c:pt>
                <c:pt idx="238">
                  <c:v>21.3699999999995</c:v>
                </c:pt>
                <c:pt idx="239">
                  <c:v>21.379999999999502</c:v>
                </c:pt>
                <c:pt idx="240">
                  <c:v>21.3899999999995</c:v>
                </c:pt>
                <c:pt idx="241">
                  <c:v>21.399999999999501</c:v>
                </c:pt>
                <c:pt idx="242">
                  <c:v>21.409999999999499</c:v>
                </c:pt>
                <c:pt idx="243">
                  <c:v>21.419999999999501</c:v>
                </c:pt>
                <c:pt idx="244">
                  <c:v>21.429999999999502</c:v>
                </c:pt>
                <c:pt idx="245">
                  <c:v>21.4399999999995</c:v>
                </c:pt>
                <c:pt idx="246">
                  <c:v>21.449999999999498</c:v>
                </c:pt>
                <c:pt idx="247">
                  <c:v>21.459999999999503</c:v>
                </c:pt>
                <c:pt idx="248">
                  <c:v>21.469999999999501</c:v>
                </c:pt>
                <c:pt idx="249">
                  <c:v>21.479999999999499</c:v>
                </c:pt>
                <c:pt idx="250">
                  <c:v>21.489999999999505</c:v>
                </c:pt>
                <c:pt idx="251">
                  <c:v>21.499999999999496</c:v>
                </c:pt>
                <c:pt idx="252">
                  <c:v>21.509999999999501</c:v>
                </c:pt>
                <c:pt idx="253">
                  <c:v>21.519999999999499</c:v>
                </c:pt>
                <c:pt idx="254">
                  <c:v>21.529999999999497</c:v>
                </c:pt>
                <c:pt idx="255">
                  <c:v>21.539999999999502</c:v>
                </c:pt>
                <c:pt idx="256">
                  <c:v>21.5499999999995</c:v>
                </c:pt>
                <c:pt idx="257">
                  <c:v>21.559999999999498</c:v>
                </c:pt>
                <c:pt idx="258">
                  <c:v>21.569999999999499</c:v>
                </c:pt>
                <c:pt idx="259">
                  <c:v>21.579999999999501</c:v>
                </c:pt>
                <c:pt idx="260">
                  <c:v>21.589999999999499</c:v>
                </c:pt>
                <c:pt idx="261">
                  <c:v>21.5999999999995</c:v>
                </c:pt>
                <c:pt idx="262">
                  <c:v>21.609999999999498</c:v>
                </c:pt>
                <c:pt idx="263">
                  <c:v>21.6199999999995</c:v>
                </c:pt>
                <c:pt idx="264">
                  <c:v>21.629999999999502</c:v>
                </c:pt>
                <c:pt idx="265">
                  <c:v>21.6399999999995</c:v>
                </c:pt>
                <c:pt idx="266">
                  <c:v>21.649999999999501</c:v>
                </c:pt>
                <c:pt idx="267">
                  <c:v>21.659999999999499</c:v>
                </c:pt>
              </c:numCache>
            </c:numRef>
          </c:xVal>
          <c:yVal>
            <c:numRef>
              <c:f>Wertetabelle!$K$2:$K$269</c:f>
              <c:numCache>
                <c:formatCode>General</c:formatCode>
                <c:ptCount val="268"/>
                <c:pt idx="0">
                  <c:v>-0.29039999999999999</c:v>
                </c:pt>
                <c:pt idx="1">
                  <c:v>-0.29039999999999999</c:v>
                </c:pt>
                <c:pt idx="2">
                  <c:v>-0.29039999999999999</c:v>
                </c:pt>
                <c:pt idx="3">
                  <c:v>-0.29039999999999999</c:v>
                </c:pt>
                <c:pt idx="4">
                  <c:v>-0.29039999999999999</c:v>
                </c:pt>
                <c:pt idx="5">
                  <c:v>-0.29039999999999999</c:v>
                </c:pt>
                <c:pt idx="6">
                  <c:v>-0.29039999999999999</c:v>
                </c:pt>
                <c:pt idx="7">
                  <c:v>-0.29039999999999999</c:v>
                </c:pt>
                <c:pt idx="8">
                  <c:v>-0.29039999999999999</c:v>
                </c:pt>
                <c:pt idx="9">
                  <c:v>-0.29039999999999999</c:v>
                </c:pt>
                <c:pt idx="10">
                  <c:v>-0.29039999999999999</c:v>
                </c:pt>
                <c:pt idx="11">
                  <c:v>-0.29039999999999999</c:v>
                </c:pt>
                <c:pt idx="12">
                  <c:v>-0.29039999999999999</c:v>
                </c:pt>
                <c:pt idx="13">
                  <c:v>-0.29039999999999999</c:v>
                </c:pt>
                <c:pt idx="14">
                  <c:v>-0.29039999999999999</c:v>
                </c:pt>
                <c:pt idx="15">
                  <c:v>-0.29039999999999999</c:v>
                </c:pt>
                <c:pt idx="16">
                  <c:v>-0.29039999999999999</c:v>
                </c:pt>
                <c:pt idx="17">
                  <c:v>-0.29039999999999999</c:v>
                </c:pt>
                <c:pt idx="18">
                  <c:v>-0.29039999999999999</c:v>
                </c:pt>
                <c:pt idx="19">
                  <c:v>-0.29039999999999999</c:v>
                </c:pt>
                <c:pt idx="20">
                  <c:v>-0.29039999999999999</c:v>
                </c:pt>
                <c:pt idx="21">
                  <c:v>-0.29039999999999999</c:v>
                </c:pt>
                <c:pt idx="22">
                  <c:v>-0.29039999999999999</c:v>
                </c:pt>
                <c:pt idx="23">
                  <c:v>-0.29039999999999999</c:v>
                </c:pt>
                <c:pt idx="24">
                  <c:v>-0.29039999999999999</c:v>
                </c:pt>
                <c:pt idx="25">
                  <c:v>-0.29039999999999999</c:v>
                </c:pt>
                <c:pt idx="26">
                  <c:v>-0.29039999999999999</c:v>
                </c:pt>
                <c:pt idx="27">
                  <c:v>-0.29039999999999999</c:v>
                </c:pt>
                <c:pt idx="28">
                  <c:v>-0.29039999999999999</c:v>
                </c:pt>
                <c:pt idx="29">
                  <c:v>-0.29039999999999999</c:v>
                </c:pt>
                <c:pt idx="30">
                  <c:v>-0.29039999999999999</c:v>
                </c:pt>
                <c:pt idx="31">
                  <c:v>-0.29039999999999999</c:v>
                </c:pt>
                <c:pt idx="32">
                  <c:v>-0.29039999999999999</c:v>
                </c:pt>
                <c:pt idx="33">
                  <c:v>-0.29039999999999999</c:v>
                </c:pt>
                <c:pt idx="34">
                  <c:v>-0.29039999999999999</c:v>
                </c:pt>
                <c:pt idx="35">
                  <c:v>-0.29039999999999999</c:v>
                </c:pt>
                <c:pt idx="36">
                  <c:v>-0.29039999999999999</c:v>
                </c:pt>
                <c:pt idx="37">
                  <c:v>-0.29039999999999999</c:v>
                </c:pt>
                <c:pt idx="38">
                  <c:v>-0.29039999999999999</c:v>
                </c:pt>
                <c:pt idx="39">
                  <c:v>-0.29039999999999999</c:v>
                </c:pt>
                <c:pt idx="40">
                  <c:v>-0.29039999999999999</c:v>
                </c:pt>
                <c:pt idx="41">
                  <c:v>-0.29039999999999999</c:v>
                </c:pt>
                <c:pt idx="42">
                  <c:v>-0.29039999999999999</c:v>
                </c:pt>
                <c:pt idx="43">
                  <c:v>-0.29039999999999999</c:v>
                </c:pt>
                <c:pt idx="44">
                  <c:v>-0.29039999999999999</c:v>
                </c:pt>
                <c:pt idx="45">
                  <c:v>-0.29039999999999999</c:v>
                </c:pt>
                <c:pt idx="46">
                  <c:v>-0.29039999999999999</c:v>
                </c:pt>
                <c:pt idx="47">
                  <c:v>-0.29039999999999999</c:v>
                </c:pt>
                <c:pt idx="48">
                  <c:v>-0.29039999999999999</c:v>
                </c:pt>
                <c:pt idx="49">
                  <c:v>-0.29039999999999999</c:v>
                </c:pt>
                <c:pt idx="50">
                  <c:v>-0.29039999999999999</c:v>
                </c:pt>
                <c:pt idx="51">
                  <c:v>-0.29039999999999999</c:v>
                </c:pt>
                <c:pt idx="52">
                  <c:v>-0.29039999999999999</c:v>
                </c:pt>
                <c:pt idx="53">
                  <c:v>-0.29039999999999999</c:v>
                </c:pt>
                <c:pt idx="54">
                  <c:v>-0.29039999999999999</c:v>
                </c:pt>
                <c:pt idx="55">
                  <c:v>-0.29039999999999999</c:v>
                </c:pt>
                <c:pt idx="56">
                  <c:v>-0.29039999999999999</c:v>
                </c:pt>
                <c:pt idx="57">
                  <c:v>-0.29039999999999999</c:v>
                </c:pt>
                <c:pt idx="58">
                  <c:v>-0.29039999999999999</c:v>
                </c:pt>
                <c:pt idx="59">
                  <c:v>-0.29039999999999999</c:v>
                </c:pt>
                <c:pt idx="60">
                  <c:v>-0.29039999999999999</c:v>
                </c:pt>
                <c:pt idx="61">
                  <c:v>-0.29039999999999999</c:v>
                </c:pt>
                <c:pt idx="62">
                  <c:v>-0.29039999999999999</c:v>
                </c:pt>
                <c:pt idx="63">
                  <c:v>-0.29039999999999999</c:v>
                </c:pt>
                <c:pt idx="64">
                  <c:v>-0.29039999999999999</c:v>
                </c:pt>
                <c:pt idx="65">
                  <c:v>-0.29039999999999999</c:v>
                </c:pt>
                <c:pt idx="66">
                  <c:v>-0.29039999999999999</c:v>
                </c:pt>
                <c:pt idx="67">
                  <c:v>-0.29039999999999999</c:v>
                </c:pt>
                <c:pt idx="68">
                  <c:v>-0.29039999999999999</c:v>
                </c:pt>
                <c:pt idx="69">
                  <c:v>-0.29039999999999999</c:v>
                </c:pt>
                <c:pt idx="70">
                  <c:v>-0.29039999999999999</c:v>
                </c:pt>
                <c:pt idx="71">
                  <c:v>-0.29039999999999999</c:v>
                </c:pt>
                <c:pt idx="72">
                  <c:v>-0.29039999999999999</c:v>
                </c:pt>
                <c:pt idx="73">
                  <c:v>-0.29039999999999999</c:v>
                </c:pt>
                <c:pt idx="74">
                  <c:v>-0.29039999999999999</c:v>
                </c:pt>
                <c:pt idx="75">
                  <c:v>-0.29039999999999999</c:v>
                </c:pt>
                <c:pt idx="76">
                  <c:v>-0.29039999999999999</c:v>
                </c:pt>
                <c:pt idx="77">
                  <c:v>-0.29039999999999999</c:v>
                </c:pt>
                <c:pt idx="78">
                  <c:v>-0.29039999999999999</c:v>
                </c:pt>
                <c:pt idx="79">
                  <c:v>-0.29039999999999999</c:v>
                </c:pt>
                <c:pt idx="80">
                  <c:v>-0.29039999999999999</c:v>
                </c:pt>
                <c:pt idx="81">
                  <c:v>-0.29039999999999999</c:v>
                </c:pt>
                <c:pt idx="82">
                  <c:v>-0.29039999999999999</c:v>
                </c:pt>
                <c:pt idx="83">
                  <c:v>-0.29039999999999999</c:v>
                </c:pt>
                <c:pt idx="84">
                  <c:v>-0.29039999999999999</c:v>
                </c:pt>
                <c:pt idx="85">
                  <c:v>-0.29039999999999999</c:v>
                </c:pt>
                <c:pt idx="86">
                  <c:v>-0.29039999999999999</c:v>
                </c:pt>
                <c:pt idx="87">
                  <c:v>-0.29039999999999999</c:v>
                </c:pt>
                <c:pt idx="88">
                  <c:v>-0.29039999999999999</c:v>
                </c:pt>
                <c:pt idx="89">
                  <c:v>-0.29039999999999999</c:v>
                </c:pt>
                <c:pt idx="90">
                  <c:v>-0.29039999999999999</c:v>
                </c:pt>
                <c:pt idx="91">
                  <c:v>-0.29039999999999999</c:v>
                </c:pt>
                <c:pt idx="92">
                  <c:v>-0.29039999999999999</c:v>
                </c:pt>
                <c:pt idx="93">
                  <c:v>-0.29039999999999999</c:v>
                </c:pt>
                <c:pt idx="94">
                  <c:v>-0.29039999999999999</c:v>
                </c:pt>
                <c:pt idx="95">
                  <c:v>-0.29039999999999999</c:v>
                </c:pt>
                <c:pt idx="96">
                  <c:v>-0.29039999999999999</c:v>
                </c:pt>
                <c:pt idx="97">
                  <c:v>-0.29039999999999999</c:v>
                </c:pt>
                <c:pt idx="98">
                  <c:v>-0.29039999999999999</c:v>
                </c:pt>
                <c:pt idx="99">
                  <c:v>-0.29039999999999999</c:v>
                </c:pt>
                <c:pt idx="100">
                  <c:v>-0.29039999999999999</c:v>
                </c:pt>
                <c:pt idx="101">
                  <c:v>-0.29039999999999999</c:v>
                </c:pt>
                <c:pt idx="102">
                  <c:v>-0.29039999999999999</c:v>
                </c:pt>
                <c:pt idx="103">
                  <c:v>-0.29039999999999999</c:v>
                </c:pt>
                <c:pt idx="104">
                  <c:v>-0.29039999999999999</c:v>
                </c:pt>
                <c:pt idx="105">
                  <c:v>-0.29039999999999999</c:v>
                </c:pt>
                <c:pt idx="106">
                  <c:v>-0.29039999999999999</c:v>
                </c:pt>
                <c:pt idx="107">
                  <c:v>-0.29039999999999999</c:v>
                </c:pt>
                <c:pt idx="108">
                  <c:v>-0.29039999999999999</c:v>
                </c:pt>
                <c:pt idx="109">
                  <c:v>-0.29039999999999999</c:v>
                </c:pt>
                <c:pt idx="110">
                  <c:v>-0.29039999999999999</c:v>
                </c:pt>
                <c:pt idx="111">
                  <c:v>-0.29039999999999999</c:v>
                </c:pt>
                <c:pt idx="112">
                  <c:v>-0.29039999999999999</c:v>
                </c:pt>
                <c:pt idx="113">
                  <c:v>-0.29039999999999999</c:v>
                </c:pt>
                <c:pt idx="114">
                  <c:v>-0.29039999999999999</c:v>
                </c:pt>
                <c:pt idx="115">
                  <c:v>-0.29039999999999999</c:v>
                </c:pt>
                <c:pt idx="116">
                  <c:v>-0.29039999999999999</c:v>
                </c:pt>
                <c:pt idx="117">
                  <c:v>-0.29039999999999999</c:v>
                </c:pt>
                <c:pt idx="118">
                  <c:v>-0.29039999999999999</c:v>
                </c:pt>
                <c:pt idx="119">
                  <c:v>-0.29039999999999999</c:v>
                </c:pt>
                <c:pt idx="120">
                  <c:v>-0.29039999999999999</c:v>
                </c:pt>
                <c:pt idx="121">
                  <c:v>-0.29039999999999999</c:v>
                </c:pt>
                <c:pt idx="122">
                  <c:v>-0.29039999999999999</c:v>
                </c:pt>
                <c:pt idx="123">
                  <c:v>-0.29039999999999999</c:v>
                </c:pt>
                <c:pt idx="124">
                  <c:v>-0.29039999999999999</c:v>
                </c:pt>
                <c:pt idx="125">
                  <c:v>-0.29039999999999999</c:v>
                </c:pt>
                <c:pt idx="126">
                  <c:v>-0.29039999999999999</c:v>
                </c:pt>
                <c:pt idx="127">
                  <c:v>-0.29039999999999999</c:v>
                </c:pt>
                <c:pt idx="128">
                  <c:v>-0.29039999999999999</c:v>
                </c:pt>
                <c:pt idx="129">
                  <c:v>-0.29039999999999999</c:v>
                </c:pt>
                <c:pt idx="130">
                  <c:v>-0.29039999999999999</c:v>
                </c:pt>
                <c:pt idx="131">
                  <c:v>-0.29039999999999999</c:v>
                </c:pt>
                <c:pt idx="132">
                  <c:v>-0.29039999999999999</c:v>
                </c:pt>
                <c:pt idx="133">
                  <c:v>-0.29039999999999999</c:v>
                </c:pt>
                <c:pt idx="134">
                  <c:v>-0.29039999999999999</c:v>
                </c:pt>
                <c:pt idx="135">
                  <c:v>-0.29039999999999999</c:v>
                </c:pt>
                <c:pt idx="136">
                  <c:v>-0.29039999999999999</c:v>
                </c:pt>
                <c:pt idx="137">
                  <c:v>-0.29039999999999999</c:v>
                </c:pt>
                <c:pt idx="138">
                  <c:v>-0.29039999999999999</c:v>
                </c:pt>
                <c:pt idx="139">
                  <c:v>-0.29039999999999999</c:v>
                </c:pt>
                <c:pt idx="140">
                  <c:v>-0.29039999999999999</c:v>
                </c:pt>
                <c:pt idx="141">
                  <c:v>-0.29039999999999999</c:v>
                </c:pt>
                <c:pt idx="142">
                  <c:v>-0.28555999999999993</c:v>
                </c:pt>
                <c:pt idx="143">
                  <c:v>-0.28071999999999919</c:v>
                </c:pt>
                <c:pt idx="144">
                  <c:v>-0.27588000000000013</c:v>
                </c:pt>
                <c:pt idx="145">
                  <c:v>-0.27103999999999939</c:v>
                </c:pt>
                <c:pt idx="146">
                  <c:v>-0.26620000000000033</c:v>
                </c:pt>
                <c:pt idx="147">
                  <c:v>-0.26135999999999959</c:v>
                </c:pt>
                <c:pt idx="148">
                  <c:v>-0.25652000000000058</c:v>
                </c:pt>
                <c:pt idx="149">
                  <c:v>-0.25167999999999979</c:v>
                </c:pt>
                <c:pt idx="150">
                  <c:v>-0.24684000000000075</c:v>
                </c:pt>
                <c:pt idx="151">
                  <c:v>-0.24199999999999999</c:v>
                </c:pt>
                <c:pt idx="152">
                  <c:v>-0.23715999999999926</c:v>
                </c:pt>
                <c:pt idx="153">
                  <c:v>-0.23232000000000019</c:v>
                </c:pt>
                <c:pt idx="154">
                  <c:v>-0.22747999999999943</c:v>
                </c:pt>
                <c:pt idx="155">
                  <c:v>-0.22264000000000042</c:v>
                </c:pt>
                <c:pt idx="156">
                  <c:v>-0.21779999999999966</c:v>
                </c:pt>
                <c:pt idx="157">
                  <c:v>-0.21296000000000062</c:v>
                </c:pt>
                <c:pt idx="158">
                  <c:v>-0.20811999999999986</c:v>
                </c:pt>
                <c:pt idx="159">
                  <c:v>-0.20328000000000082</c:v>
                </c:pt>
                <c:pt idx="160">
                  <c:v>-0.19844000000000006</c:v>
                </c:pt>
                <c:pt idx="161">
                  <c:v>-0.1935999999999993</c:v>
                </c:pt>
                <c:pt idx="162">
                  <c:v>-0.18876000000000029</c:v>
                </c:pt>
                <c:pt idx="163">
                  <c:v>-0.18391999999999953</c:v>
                </c:pt>
                <c:pt idx="164">
                  <c:v>-0.17908000000000049</c:v>
                </c:pt>
                <c:pt idx="165">
                  <c:v>-0.17423999999999973</c:v>
                </c:pt>
                <c:pt idx="166">
                  <c:v>-0.16940000000000069</c:v>
                </c:pt>
                <c:pt idx="167">
                  <c:v>-0.16455999999999993</c:v>
                </c:pt>
                <c:pt idx="168">
                  <c:v>-0.15971999999999917</c:v>
                </c:pt>
                <c:pt idx="169">
                  <c:v>-0.15488000000000016</c:v>
                </c:pt>
                <c:pt idx="170">
                  <c:v>-0.1500399999999994</c:v>
                </c:pt>
                <c:pt idx="171">
                  <c:v>-0.14520000000000036</c:v>
                </c:pt>
                <c:pt idx="172">
                  <c:v>-0.1403599999999996</c:v>
                </c:pt>
                <c:pt idx="173">
                  <c:v>-0.13552000000000056</c:v>
                </c:pt>
                <c:pt idx="174">
                  <c:v>-0.1306799999999998</c:v>
                </c:pt>
                <c:pt idx="175">
                  <c:v>-0.12584000000000076</c:v>
                </c:pt>
                <c:pt idx="176">
                  <c:v>-0.121</c:v>
                </c:pt>
                <c:pt idx="177">
                  <c:v>-0.11615999999999925</c:v>
                </c:pt>
                <c:pt idx="178">
                  <c:v>-0.11132000000000021</c:v>
                </c:pt>
                <c:pt idx="179">
                  <c:v>-0.10647999999999946</c:v>
                </c:pt>
                <c:pt idx="180">
                  <c:v>-0.10164000000000041</c:v>
                </c:pt>
                <c:pt idx="181">
                  <c:v>-9.679999999999965E-2</c:v>
                </c:pt>
                <c:pt idx="182">
                  <c:v>-9.1960000000000625E-2</c:v>
                </c:pt>
                <c:pt idx="183">
                  <c:v>-8.7119999999999864E-2</c:v>
                </c:pt>
                <c:pt idx="184">
                  <c:v>-8.2280000000000839E-2</c:v>
                </c:pt>
                <c:pt idx="185">
                  <c:v>-7.7440000000000078E-2</c:v>
                </c:pt>
                <c:pt idx="186">
                  <c:v>-7.2599999999999318E-2</c:v>
                </c:pt>
                <c:pt idx="187">
                  <c:v>-6.7760000000000278E-2</c:v>
                </c:pt>
                <c:pt idx="188">
                  <c:v>-6.2919999999999518E-2</c:v>
                </c:pt>
                <c:pt idx="189">
                  <c:v>-5.8080000000000485E-2</c:v>
                </c:pt>
                <c:pt idx="190">
                  <c:v>-5.3239999999999732E-2</c:v>
                </c:pt>
                <c:pt idx="191">
                  <c:v>-4.8400000000000692E-2</c:v>
                </c:pt>
                <c:pt idx="192">
                  <c:v>-4.3559999999999932E-2</c:v>
                </c:pt>
                <c:pt idx="193">
                  <c:v>-3.8719999999999179E-2</c:v>
                </c:pt>
                <c:pt idx="194">
                  <c:v>-3.3880000000000139E-2</c:v>
                </c:pt>
                <c:pt idx="195">
                  <c:v>-2.9039999999999379E-2</c:v>
                </c:pt>
                <c:pt idx="196">
                  <c:v>-2.4200000000000346E-2</c:v>
                </c:pt>
                <c:pt idx="197">
                  <c:v>-1.9359999999999589E-2</c:v>
                </c:pt>
                <c:pt idx="198">
                  <c:v>-1.452000000000055E-2</c:v>
                </c:pt>
                <c:pt idx="199">
                  <c:v>-9.6799999999997947E-3</c:v>
                </c:pt>
                <c:pt idx="200">
                  <c:v>-4.840000000000756E-3</c:v>
                </c:pt>
                <c:pt idx="201">
                  <c:v>0</c:v>
                </c:pt>
                <c:pt idx="202">
                  <c:v>4.840000000000756E-3</c:v>
                </c:pt>
                <c:pt idx="203">
                  <c:v>9.6799999999997947E-3</c:v>
                </c:pt>
                <c:pt idx="204">
                  <c:v>1.452000000000055E-2</c:v>
                </c:pt>
                <c:pt idx="205">
                  <c:v>1.9359999999999589E-2</c:v>
                </c:pt>
                <c:pt idx="206">
                  <c:v>2.4200000000000346E-2</c:v>
                </c:pt>
                <c:pt idx="207">
                  <c:v>2.9039999999999379E-2</c:v>
                </c:pt>
                <c:pt idx="208">
                  <c:v>3.3880000000000139E-2</c:v>
                </c:pt>
                <c:pt idx="209">
                  <c:v>3.8719999999999179E-2</c:v>
                </c:pt>
                <c:pt idx="210">
                  <c:v>4.3559999999999932E-2</c:v>
                </c:pt>
                <c:pt idx="211">
                  <c:v>4.8400000000000692E-2</c:v>
                </c:pt>
                <c:pt idx="212">
                  <c:v>5.3239999999999732E-2</c:v>
                </c:pt>
                <c:pt idx="213">
                  <c:v>5.8080000000000485E-2</c:v>
                </c:pt>
                <c:pt idx="214">
                  <c:v>6.2919999999999518E-2</c:v>
                </c:pt>
                <c:pt idx="215">
                  <c:v>6.7760000000000278E-2</c:v>
                </c:pt>
                <c:pt idx="216">
                  <c:v>7.2599999999999318E-2</c:v>
                </c:pt>
                <c:pt idx="217">
                  <c:v>7.7440000000000078E-2</c:v>
                </c:pt>
                <c:pt idx="218">
                  <c:v>8.2280000000000839E-2</c:v>
                </c:pt>
                <c:pt idx="219">
                  <c:v>8.7119999999999864E-2</c:v>
                </c:pt>
                <c:pt idx="220">
                  <c:v>9.1960000000000625E-2</c:v>
                </c:pt>
                <c:pt idx="221">
                  <c:v>9.679999999999965E-2</c:v>
                </c:pt>
                <c:pt idx="222">
                  <c:v>0.10164000000000041</c:v>
                </c:pt>
                <c:pt idx="223">
                  <c:v>0.10647999999999946</c:v>
                </c:pt>
                <c:pt idx="224">
                  <c:v>0.11132000000000021</c:v>
                </c:pt>
                <c:pt idx="225">
                  <c:v>0.11615999999999925</c:v>
                </c:pt>
                <c:pt idx="226">
                  <c:v>0.121</c:v>
                </c:pt>
                <c:pt idx="227">
                  <c:v>0.12584000000000076</c:v>
                </c:pt>
                <c:pt idx="228">
                  <c:v>0.1306799999999998</c:v>
                </c:pt>
                <c:pt idx="229">
                  <c:v>0.13552000000000056</c:v>
                </c:pt>
                <c:pt idx="230">
                  <c:v>0.1403599999999996</c:v>
                </c:pt>
                <c:pt idx="231">
                  <c:v>0.14520000000000036</c:v>
                </c:pt>
                <c:pt idx="232">
                  <c:v>0.1500399999999994</c:v>
                </c:pt>
                <c:pt idx="233">
                  <c:v>0.15488000000000016</c:v>
                </c:pt>
                <c:pt idx="234">
                  <c:v>0.15971999999999917</c:v>
                </c:pt>
                <c:pt idx="235">
                  <c:v>0.16455999999999993</c:v>
                </c:pt>
                <c:pt idx="236">
                  <c:v>0.16940000000000069</c:v>
                </c:pt>
                <c:pt idx="237">
                  <c:v>0.17423999999999973</c:v>
                </c:pt>
                <c:pt idx="238">
                  <c:v>0.17908000000000049</c:v>
                </c:pt>
                <c:pt idx="239">
                  <c:v>0.18391999999999953</c:v>
                </c:pt>
                <c:pt idx="240">
                  <c:v>0.18876000000000029</c:v>
                </c:pt>
                <c:pt idx="241">
                  <c:v>0.1935999999999993</c:v>
                </c:pt>
                <c:pt idx="242">
                  <c:v>0.19844000000000006</c:v>
                </c:pt>
                <c:pt idx="243">
                  <c:v>0.20328000000000082</c:v>
                </c:pt>
                <c:pt idx="244">
                  <c:v>0.20811999999999986</c:v>
                </c:pt>
                <c:pt idx="245">
                  <c:v>0.21296000000000062</c:v>
                </c:pt>
                <c:pt idx="246">
                  <c:v>0.21779999999999966</c:v>
                </c:pt>
                <c:pt idx="247">
                  <c:v>0.22264000000000042</c:v>
                </c:pt>
                <c:pt idx="248">
                  <c:v>0.22747999999999943</c:v>
                </c:pt>
                <c:pt idx="249">
                  <c:v>0.23232000000000019</c:v>
                </c:pt>
                <c:pt idx="250">
                  <c:v>0.23715999999999926</c:v>
                </c:pt>
                <c:pt idx="251">
                  <c:v>0.24199999999999999</c:v>
                </c:pt>
                <c:pt idx="252">
                  <c:v>0.24684000000000075</c:v>
                </c:pt>
                <c:pt idx="253">
                  <c:v>0.25167999999999979</c:v>
                </c:pt>
                <c:pt idx="254">
                  <c:v>0.25652000000000058</c:v>
                </c:pt>
                <c:pt idx="255">
                  <c:v>0.26135999999999959</c:v>
                </c:pt>
                <c:pt idx="256">
                  <c:v>0.26620000000000033</c:v>
                </c:pt>
                <c:pt idx="257">
                  <c:v>0.27103999999999939</c:v>
                </c:pt>
                <c:pt idx="258">
                  <c:v>0.27588000000000013</c:v>
                </c:pt>
                <c:pt idx="259">
                  <c:v>0.28071999999999919</c:v>
                </c:pt>
                <c:pt idx="260">
                  <c:v>0.28555999999999993</c:v>
                </c:pt>
                <c:pt idx="261">
                  <c:v>0.29040000000000071</c:v>
                </c:pt>
                <c:pt idx="262">
                  <c:v>0.29040000000000071</c:v>
                </c:pt>
                <c:pt idx="263">
                  <c:v>0.29040000000000071</c:v>
                </c:pt>
                <c:pt idx="264">
                  <c:v>0.29040000000000071</c:v>
                </c:pt>
                <c:pt idx="265">
                  <c:v>0.29040000000000071</c:v>
                </c:pt>
                <c:pt idx="266">
                  <c:v>0.29040000000000071</c:v>
                </c:pt>
                <c:pt idx="267">
                  <c:v>0.29040000000000071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C1-4B19-AE48-1DF812A9C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538912"/>
        <c:axId val="3795166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Wertetabelle!$B$6:$B$8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19</c:v>
                      </c:pt>
                      <c:pt idx="1">
                        <c:v>19.600000000000001</c:v>
                      </c:pt>
                      <c:pt idx="2">
                        <c:v>20.200000000000003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Wertetabelle!$C$6:$C$8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 formatCode="0.000">
                        <c:v>-0.29040000000000071</c:v>
                      </c:pt>
                      <c:pt idx="1">
                        <c:v>0</c:v>
                      </c:pt>
                      <c:pt idx="2" formatCode="0.000">
                        <c:v>0.29040000000000071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7-C7C1-4B19-AE48-1DF812A9CDE0}"/>
                  </c:ext>
                </c:extLst>
              </c15:ser>
            </c15:filteredScatterSeries>
            <c15:filteredScatterSeries>
              <c15:ser>
                <c:idx val="2"/>
                <c:order val="3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Wertetabelle!$B$9:$B$11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21</c:v>
                      </c:pt>
                      <c:pt idx="1">
                        <c:v>21.6</c:v>
                      </c:pt>
                      <c:pt idx="2">
                        <c:v>20.399999999999999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Wertetabelle!$C$9:$C$11</c15:sqref>
                        </c15:formulaRef>
                      </c:ext>
                    </c:extLst>
                    <c:numCache>
                      <c:formatCode>0.000</c:formatCode>
                      <c:ptCount val="3"/>
                      <c:pt idx="0" formatCode="General">
                        <c:v>0</c:v>
                      </c:pt>
                      <c:pt idx="1">
                        <c:v>0.29040000000000071</c:v>
                      </c:pt>
                      <c:pt idx="2">
                        <c:v>-0.29040000000000071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7C1-4B19-AE48-1DF812A9CDE0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Wertetabelle!$N$1</c15:sqref>
                        </c15:formulaRef>
                      </c:ext>
                    </c:extLst>
                    <c:strCache>
                      <c:ptCount val="1"/>
                      <c:pt idx="0">
                        <c:v>MVAr (kap.) B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Wertetabelle!$F$2:$F$269</c15:sqref>
                        </c15:formulaRef>
                      </c:ext>
                    </c:extLst>
                    <c:numCache>
                      <c:formatCode>0.00</c:formatCode>
                      <c:ptCount val="268"/>
                      <c:pt idx="0">
                        <c:v>18.5</c:v>
                      </c:pt>
                      <c:pt idx="1">
                        <c:v>19</c:v>
                      </c:pt>
                      <c:pt idx="2">
                        <c:v>19.010000000000002</c:v>
                      </c:pt>
                      <c:pt idx="3">
                        <c:v>19.02</c:v>
                      </c:pt>
                      <c:pt idx="4">
                        <c:v>19.03</c:v>
                      </c:pt>
                      <c:pt idx="5">
                        <c:v>19.04</c:v>
                      </c:pt>
                      <c:pt idx="6">
                        <c:v>19.05</c:v>
                      </c:pt>
                      <c:pt idx="7">
                        <c:v>19.059999999999999</c:v>
                      </c:pt>
                      <c:pt idx="8">
                        <c:v>19.07</c:v>
                      </c:pt>
                      <c:pt idx="9">
                        <c:v>19.079999999999998</c:v>
                      </c:pt>
                      <c:pt idx="10">
                        <c:v>19.09</c:v>
                      </c:pt>
                      <c:pt idx="11">
                        <c:v>19.100000000000001</c:v>
                      </c:pt>
                      <c:pt idx="12">
                        <c:v>19.11</c:v>
                      </c:pt>
                      <c:pt idx="13">
                        <c:v>19.12</c:v>
                      </c:pt>
                      <c:pt idx="14">
                        <c:v>19.13</c:v>
                      </c:pt>
                      <c:pt idx="15">
                        <c:v>19.14</c:v>
                      </c:pt>
                      <c:pt idx="16">
                        <c:v>19.149999999999999</c:v>
                      </c:pt>
                      <c:pt idx="17">
                        <c:v>19.16</c:v>
                      </c:pt>
                      <c:pt idx="18">
                        <c:v>19.170000000000002</c:v>
                      </c:pt>
                      <c:pt idx="19">
                        <c:v>19.18</c:v>
                      </c:pt>
                      <c:pt idx="20">
                        <c:v>19.190000000000001</c:v>
                      </c:pt>
                      <c:pt idx="21">
                        <c:v>19.2</c:v>
                      </c:pt>
                      <c:pt idx="22">
                        <c:v>19.21</c:v>
                      </c:pt>
                      <c:pt idx="23">
                        <c:v>19.22</c:v>
                      </c:pt>
                      <c:pt idx="24">
                        <c:v>19.23</c:v>
                      </c:pt>
                      <c:pt idx="25">
                        <c:v>19.239999999999998</c:v>
                      </c:pt>
                      <c:pt idx="26">
                        <c:v>19.25</c:v>
                      </c:pt>
                      <c:pt idx="27">
                        <c:v>19.260000000000002</c:v>
                      </c:pt>
                      <c:pt idx="28">
                        <c:v>19.2699999999999</c:v>
                      </c:pt>
                      <c:pt idx="29">
                        <c:v>19.279999999999902</c:v>
                      </c:pt>
                      <c:pt idx="30">
                        <c:v>19.2899999999999</c:v>
                      </c:pt>
                      <c:pt idx="31">
                        <c:v>19.299999999999901</c:v>
                      </c:pt>
                      <c:pt idx="32">
                        <c:v>19.309999999999899</c:v>
                      </c:pt>
                      <c:pt idx="33">
                        <c:v>19.319999999999901</c:v>
                      </c:pt>
                      <c:pt idx="34">
                        <c:v>19.329999999999899</c:v>
                      </c:pt>
                      <c:pt idx="35">
                        <c:v>19.3399999999999</c:v>
                      </c:pt>
                      <c:pt idx="36">
                        <c:v>19.349999999999898</c:v>
                      </c:pt>
                      <c:pt idx="37">
                        <c:v>19.3599999999999</c:v>
                      </c:pt>
                      <c:pt idx="38">
                        <c:v>19.369999999999902</c:v>
                      </c:pt>
                      <c:pt idx="39">
                        <c:v>19.3799999999999</c:v>
                      </c:pt>
                      <c:pt idx="40">
                        <c:v>19.389999999999901</c:v>
                      </c:pt>
                      <c:pt idx="41">
                        <c:v>19.399999999999899</c:v>
                      </c:pt>
                      <c:pt idx="42">
                        <c:v>19.409999999999901</c:v>
                      </c:pt>
                      <c:pt idx="43">
                        <c:v>19.419999999999899</c:v>
                      </c:pt>
                      <c:pt idx="44">
                        <c:v>19.4299999999999</c:v>
                      </c:pt>
                      <c:pt idx="45">
                        <c:v>19.439999999999898</c:v>
                      </c:pt>
                      <c:pt idx="46">
                        <c:v>19.4499999999999</c:v>
                      </c:pt>
                      <c:pt idx="47">
                        <c:v>19.459999999999901</c:v>
                      </c:pt>
                      <c:pt idx="48">
                        <c:v>19.469999999999899</c:v>
                      </c:pt>
                      <c:pt idx="49">
                        <c:v>19.479999999999901</c:v>
                      </c:pt>
                      <c:pt idx="50">
                        <c:v>19.489999999999899</c:v>
                      </c:pt>
                      <c:pt idx="51">
                        <c:v>19.499999999999901</c:v>
                      </c:pt>
                      <c:pt idx="52">
                        <c:v>19.509999999999899</c:v>
                      </c:pt>
                      <c:pt idx="53">
                        <c:v>19.5199999999999</c:v>
                      </c:pt>
                      <c:pt idx="54">
                        <c:v>19.529999999999902</c:v>
                      </c:pt>
                      <c:pt idx="55">
                        <c:v>19.5399999999999</c:v>
                      </c:pt>
                      <c:pt idx="56">
                        <c:v>19.549999999999901</c:v>
                      </c:pt>
                      <c:pt idx="57">
                        <c:v>19.559999999999899</c:v>
                      </c:pt>
                      <c:pt idx="58">
                        <c:v>19.569999999999901</c:v>
                      </c:pt>
                      <c:pt idx="59">
                        <c:v>19.579999999999899</c:v>
                      </c:pt>
                      <c:pt idx="60">
                        <c:v>19.5899999999999</c:v>
                      </c:pt>
                      <c:pt idx="61">
                        <c:v>19.599999999999898</c:v>
                      </c:pt>
                      <c:pt idx="62">
                        <c:v>19.6099999999999</c:v>
                      </c:pt>
                      <c:pt idx="63">
                        <c:v>19.619999999999902</c:v>
                      </c:pt>
                      <c:pt idx="64">
                        <c:v>19.6299999999999</c:v>
                      </c:pt>
                      <c:pt idx="65">
                        <c:v>19.639999999999901</c:v>
                      </c:pt>
                      <c:pt idx="66">
                        <c:v>19.649999999999899</c:v>
                      </c:pt>
                      <c:pt idx="67">
                        <c:v>19.659999999999901</c:v>
                      </c:pt>
                      <c:pt idx="68">
                        <c:v>19.669999999999899</c:v>
                      </c:pt>
                      <c:pt idx="69">
                        <c:v>19.6799999999999</c:v>
                      </c:pt>
                      <c:pt idx="70">
                        <c:v>19.689999999999898</c:v>
                      </c:pt>
                      <c:pt idx="71">
                        <c:v>19.6999999999999</c:v>
                      </c:pt>
                      <c:pt idx="72">
                        <c:v>19.709999999999901</c:v>
                      </c:pt>
                      <c:pt idx="73">
                        <c:v>19.719999999999899</c:v>
                      </c:pt>
                      <c:pt idx="74">
                        <c:v>19.729999999999901</c:v>
                      </c:pt>
                      <c:pt idx="75">
                        <c:v>19.739999999999899</c:v>
                      </c:pt>
                      <c:pt idx="76">
                        <c:v>19.749999999999901</c:v>
                      </c:pt>
                      <c:pt idx="77">
                        <c:v>19.759999999999899</c:v>
                      </c:pt>
                      <c:pt idx="78">
                        <c:v>19.7699999999999</c:v>
                      </c:pt>
                      <c:pt idx="79">
                        <c:v>19.779999999999799</c:v>
                      </c:pt>
                      <c:pt idx="80">
                        <c:v>19.7899999999998</c:v>
                      </c:pt>
                      <c:pt idx="81">
                        <c:v>19.799999999999802</c:v>
                      </c:pt>
                      <c:pt idx="82">
                        <c:v>19.8099999999998</c:v>
                      </c:pt>
                      <c:pt idx="83">
                        <c:v>19.819999999999801</c:v>
                      </c:pt>
                      <c:pt idx="84">
                        <c:v>19.829999999999799</c:v>
                      </c:pt>
                      <c:pt idx="85">
                        <c:v>19.839999999999801</c:v>
                      </c:pt>
                      <c:pt idx="86">
                        <c:v>19.849999999999799</c:v>
                      </c:pt>
                      <c:pt idx="87">
                        <c:v>19.8599999999998</c:v>
                      </c:pt>
                      <c:pt idx="88">
                        <c:v>19.869999999999798</c:v>
                      </c:pt>
                      <c:pt idx="89">
                        <c:v>19.8799999999998</c:v>
                      </c:pt>
                      <c:pt idx="90">
                        <c:v>19.889999999999802</c:v>
                      </c:pt>
                      <c:pt idx="91">
                        <c:v>19.8999999999998</c:v>
                      </c:pt>
                      <c:pt idx="92">
                        <c:v>19.909999999999801</c:v>
                      </c:pt>
                      <c:pt idx="93">
                        <c:v>19.919999999999799</c:v>
                      </c:pt>
                      <c:pt idx="94">
                        <c:v>19.929999999999801</c:v>
                      </c:pt>
                      <c:pt idx="95">
                        <c:v>19.939999999999799</c:v>
                      </c:pt>
                      <c:pt idx="96">
                        <c:v>19.9499999999998</c:v>
                      </c:pt>
                      <c:pt idx="97">
                        <c:v>19.959999999999798</c:v>
                      </c:pt>
                      <c:pt idx="98">
                        <c:v>19.9699999999998</c:v>
                      </c:pt>
                      <c:pt idx="99">
                        <c:v>19.979999999999801</c:v>
                      </c:pt>
                      <c:pt idx="100">
                        <c:v>19.989999999999799</c:v>
                      </c:pt>
                      <c:pt idx="101">
                        <c:v>19.999999999999801</c:v>
                      </c:pt>
                      <c:pt idx="102">
                        <c:v>20.009999999999799</c:v>
                      </c:pt>
                      <c:pt idx="103">
                        <c:v>20.019999999999804</c:v>
                      </c:pt>
                      <c:pt idx="104">
                        <c:v>20.029999999999795</c:v>
                      </c:pt>
                      <c:pt idx="105">
                        <c:v>20.0399999999998</c:v>
                      </c:pt>
                      <c:pt idx="106">
                        <c:v>20.049999999999805</c:v>
                      </c:pt>
                      <c:pt idx="107">
                        <c:v>20.059999999999796</c:v>
                      </c:pt>
                      <c:pt idx="108">
                        <c:v>20.069999999999801</c:v>
                      </c:pt>
                      <c:pt idx="109">
                        <c:v>20.079999999999799</c:v>
                      </c:pt>
                      <c:pt idx="110">
                        <c:v>20.089999999999797</c:v>
                      </c:pt>
                      <c:pt idx="111">
                        <c:v>20.099999999999799</c:v>
                      </c:pt>
                      <c:pt idx="112">
                        <c:v>20.1099999999998</c:v>
                      </c:pt>
                      <c:pt idx="113">
                        <c:v>20.119999999999798</c:v>
                      </c:pt>
                      <c:pt idx="114">
                        <c:v>20.1299999999998</c:v>
                      </c:pt>
                      <c:pt idx="115">
                        <c:v>20.139999999999802</c:v>
                      </c:pt>
                      <c:pt idx="116">
                        <c:v>20.1499999999998</c:v>
                      </c:pt>
                      <c:pt idx="117">
                        <c:v>20.159999999999801</c:v>
                      </c:pt>
                      <c:pt idx="118">
                        <c:v>20.169999999999799</c:v>
                      </c:pt>
                      <c:pt idx="119">
                        <c:v>20.179999999999801</c:v>
                      </c:pt>
                      <c:pt idx="120">
                        <c:v>20.189999999999799</c:v>
                      </c:pt>
                      <c:pt idx="121">
                        <c:v>20.1999999999998</c:v>
                      </c:pt>
                      <c:pt idx="122">
                        <c:v>20.209999999999798</c:v>
                      </c:pt>
                      <c:pt idx="123">
                        <c:v>20.2199999999998</c:v>
                      </c:pt>
                      <c:pt idx="124">
                        <c:v>20.229999999999801</c:v>
                      </c:pt>
                      <c:pt idx="125">
                        <c:v>20.239999999999799</c:v>
                      </c:pt>
                      <c:pt idx="126">
                        <c:v>20.249999999999801</c:v>
                      </c:pt>
                      <c:pt idx="127">
                        <c:v>20.259999999999799</c:v>
                      </c:pt>
                      <c:pt idx="128">
                        <c:v>20.269999999999801</c:v>
                      </c:pt>
                      <c:pt idx="129">
                        <c:v>20.279999999999802</c:v>
                      </c:pt>
                      <c:pt idx="130">
                        <c:v>20.2899999999998</c:v>
                      </c:pt>
                      <c:pt idx="131">
                        <c:v>20.299999999999699</c:v>
                      </c:pt>
                      <c:pt idx="132">
                        <c:v>20.3099999999997</c:v>
                      </c:pt>
                      <c:pt idx="133">
                        <c:v>20.319999999999698</c:v>
                      </c:pt>
                      <c:pt idx="134">
                        <c:v>20.3299999999997</c:v>
                      </c:pt>
                      <c:pt idx="135">
                        <c:v>20.339999999999701</c:v>
                      </c:pt>
                      <c:pt idx="136">
                        <c:v>20.349999999999699</c:v>
                      </c:pt>
                      <c:pt idx="137">
                        <c:v>20.359999999999701</c:v>
                      </c:pt>
                      <c:pt idx="138">
                        <c:v>20.369999999999699</c:v>
                      </c:pt>
                      <c:pt idx="139">
                        <c:v>20.379999999999701</c:v>
                      </c:pt>
                      <c:pt idx="140">
                        <c:v>20.389999999999699</c:v>
                      </c:pt>
                      <c:pt idx="141">
                        <c:v>20.3999999999997</c:v>
                      </c:pt>
                      <c:pt idx="142">
                        <c:v>20.409999999999702</c:v>
                      </c:pt>
                      <c:pt idx="143">
                        <c:v>20.4199999999997</c:v>
                      </c:pt>
                      <c:pt idx="144">
                        <c:v>20.429999999999701</c:v>
                      </c:pt>
                      <c:pt idx="145">
                        <c:v>20.439999999999699</c:v>
                      </c:pt>
                      <c:pt idx="146">
                        <c:v>20.449999999999701</c:v>
                      </c:pt>
                      <c:pt idx="147">
                        <c:v>20.459999999999702</c:v>
                      </c:pt>
                      <c:pt idx="148">
                        <c:v>20.4699999999997</c:v>
                      </c:pt>
                      <c:pt idx="149">
                        <c:v>20.479999999999698</c:v>
                      </c:pt>
                      <c:pt idx="150">
                        <c:v>20.489999999999704</c:v>
                      </c:pt>
                      <c:pt idx="151">
                        <c:v>20.499999999999702</c:v>
                      </c:pt>
                      <c:pt idx="152">
                        <c:v>20.5099999999997</c:v>
                      </c:pt>
                      <c:pt idx="153">
                        <c:v>20.519999999999705</c:v>
                      </c:pt>
                      <c:pt idx="154">
                        <c:v>20.529999999999696</c:v>
                      </c:pt>
                      <c:pt idx="155">
                        <c:v>20.539999999999701</c:v>
                      </c:pt>
                      <c:pt idx="156">
                        <c:v>20.549999999999699</c:v>
                      </c:pt>
                      <c:pt idx="157">
                        <c:v>20.559999999999697</c:v>
                      </c:pt>
                      <c:pt idx="158">
                        <c:v>20.569999999999698</c:v>
                      </c:pt>
                      <c:pt idx="159">
                        <c:v>20.5799999999997</c:v>
                      </c:pt>
                      <c:pt idx="160">
                        <c:v>20.589999999999698</c:v>
                      </c:pt>
                      <c:pt idx="161">
                        <c:v>20.599999999999699</c:v>
                      </c:pt>
                      <c:pt idx="162">
                        <c:v>20.609999999999701</c:v>
                      </c:pt>
                      <c:pt idx="163">
                        <c:v>20.619999999999699</c:v>
                      </c:pt>
                      <c:pt idx="164">
                        <c:v>20.629999999999701</c:v>
                      </c:pt>
                      <c:pt idx="165">
                        <c:v>20.639999999999699</c:v>
                      </c:pt>
                      <c:pt idx="166">
                        <c:v>20.6499999999997</c:v>
                      </c:pt>
                      <c:pt idx="167">
                        <c:v>20.659999999999702</c:v>
                      </c:pt>
                      <c:pt idx="168">
                        <c:v>20.6699999999997</c:v>
                      </c:pt>
                      <c:pt idx="169">
                        <c:v>20.679999999999701</c:v>
                      </c:pt>
                      <c:pt idx="170">
                        <c:v>20.689999999999699</c:v>
                      </c:pt>
                      <c:pt idx="171">
                        <c:v>20.699999999999701</c:v>
                      </c:pt>
                      <c:pt idx="172">
                        <c:v>20.709999999999699</c:v>
                      </c:pt>
                      <c:pt idx="173">
                        <c:v>20.7199999999997</c:v>
                      </c:pt>
                      <c:pt idx="174">
                        <c:v>20.729999999999698</c:v>
                      </c:pt>
                      <c:pt idx="175">
                        <c:v>20.7399999999997</c:v>
                      </c:pt>
                      <c:pt idx="176">
                        <c:v>20.749999999999702</c:v>
                      </c:pt>
                      <c:pt idx="177">
                        <c:v>20.7599999999996</c:v>
                      </c:pt>
                      <c:pt idx="178">
                        <c:v>20.769999999999701</c:v>
                      </c:pt>
                      <c:pt idx="179">
                        <c:v>20.779999999999703</c:v>
                      </c:pt>
                      <c:pt idx="180">
                        <c:v>20.789999999999701</c:v>
                      </c:pt>
                      <c:pt idx="181">
                        <c:v>20.799999999999599</c:v>
                      </c:pt>
                      <c:pt idx="182">
                        <c:v>20.809999999999601</c:v>
                      </c:pt>
                      <c:pt idx="183">
                        <c:v>20.819999999999599</c:v>
                      </c:pt>
                      <c:pt idx="184">
                        <c:v>20.8299999999996</c:v>
                      </c:pt>
                      <c:pt idx="185">
                        <c:v>20.839999999999598</c:v>
                      </c:pt>
                      <c:pt idx="186">
                        <c:v>20.8499999999996</c:v>
                      </c:pt>
                      <c:pt idx="187">
                        <c:v>20.859999999999602</c:v>
                      </c:pt>
                      <c:pt idx="188">
                        <c:v>20.8699999999996</c:v>
                      </c:pt>
                      <c:pt idx="189">
                        <c:v>20.879999999999601</c:v>
                      </c:pt>
                      <c:pt idx="190">
                        <c:v>20.889999999999599</c:v>
                      </c:pt>
                      <c:pt idx="191">
                        <c:v>20.899999999999601</c:v>
                      </c:pt>
                      <c:pt idx="192">
                        <c:v>20.909999999999599</c:v>
                      </c:pt>
                      <c:pt idx="193">
                        <c:v>20.9199999999996</c:v>
                      </c:pt>
                      <c:pt idx="194">
                        <c:v>20.929999999999602</c:v>
                      </c:pt>
                      <c:pt idx="195">
                        <c:v>20.9399999999996</c:v>
                      </c:pt>
                      <c:pt idx="196">
                        <c:v>20.949999999999601</c:v>
                      </c:pt>
                      <c:pt idx="197">
                        <c:v>20.959999999999603</c:v>
                      </c:pt>
                      <c:pt idx="198">
                        <c:v>20.969999999999601</c:v>
                      </c:pt>
                      <c:pt idx="199">
                        <c:v>20.979999999999599</c:v>
                      </c:pt>
                      <c:pt idx="200">
                        <c:v>20.989999999999604</c:v>
                      </c:pt>
                      <c:pt idx="201">
                        <c:v>20.999999999999595</c:v>
                      </c:pt>
                      <c:pt idx="202">
                        <c:v>21.0099999999996</c:v>
                      </c:pt>
                      <c:pt idx="203">
                        <c:v>21.019999999999605</c:v>
                      </c:pt>
                      <c:pt idx="204">
                        <c:v>21.029999999999596</c:v>
                      </c:pt>
                      <c:pt idx="205">
                        <c:v>21.039999999999601</c:v>
                      </c:pt>
                      <c:pt idx="206">
                        <c:v>21.049999999999599</c:v>
                      </c:pt>
                      <c:pt idx="207">
                        <c:v>21.059999999999597</c:v>
                      </c:pt>
                      <c:pt idx="208">
                        <c:v>21.069999999999599</c:v>
                      </c:pt>
                      <c:pt idx="209">
                        <c:v>21.0799999999996</c:v>
                      </c:pt>
                      <c:pt idx="210">
                        <c:v>21.089999999999598</c:v>
                      </c:pt>
                      <c:pt idx="211">
                        <c:v>21.0999999999996</c:v>
                      </c:pt>
                      <c:pt idx="212">
                        <c:v>21.109999999999602</c:v>
                      </c:pt>
                      <c:pt idx="213">
                        <c:v>21.1199999999996</c:v>
                      </c:pt>
                      <c:pt idx="214">
                        <c:v>21.129999999999601</c:v>
                      </c:pt>
                      <c:pt idx="215">
                        <c:v>21.139999999999599</c:v>
                      </c:pt>
                      <c:pt idx="216">
                        <c:v>21.149999999999601</c:v>
                      </c:pt>
                      <c:pt idx="217">
                        <c:v>21.159999999999599</c:v>
                      </c:pt>
                      <c:pt idx="218">
                        <c:v>21.1699999999996</c:v>
                      </c:pt>
                      <c:pt idx="219">
                        <c:v>21.179999999999598</c:v>
                      </c:pt>
                      <c:pt idx="220">
                        <c:v>21.1899999999996</c:v>
                      </c:pt>
                      <c:pt idx="221">
                        <c:v>21.199999999999601</c:v>
                      </c:pt>
                      <c:pt idx="222">
                        <c:v>21.209999999999599</c:v>
                      </c:pt>
                      <c:pt idx="223">
                        <c:v>21.219999999999601</c:v>
                      </c:pt>
                      <c:pt idx="224">
                        <c:v>21.229999999999599</c:v>
                      </c:pt>
                      <c:pt idx="225">
                        <c:v>21.239999999999601</c:v>
                      </c:pt>
                      <c:pt idx="226">
                        <c:v>21.249999999999602</c:v>
                      </c:pt>
                      <c:pt idx="227">
                        <c:v>21.2599999999996</c:v>
                      </c:pt>
                      <c:pt idx="228">
                        <c:v>21.269999999999602</c:v>
                      </c:pt>
                      <c:pt idx="229">
                        <c:v>21.279999999999603</c:v>
                      </c:pt>
                      <c:pt idx="230">
                        <c:v>21.289999999999601</c:v>
                      </c:pt>
                      <c:pt idx="231">
                        <c:v>21.2999999999995</c:v>
                      </c:pt>
                      <c:pt idx="232">
                        <c:v>21.309999999999501</c:v>
                      </c:pt>
                      <c:pt idx="233">
                        <c:v>21.319999999999499</c:v>
                      </c:pt>
                      <c:pt idx="234">
                        <c:v>21.329999999999501</c:v>
                      </c:pt>
                      <c:pt idx="235">
                        <c:v>21.339999999999499</c:v>
                      </c:pt>
                      <c:pt idx="236">
                        <c:v>21.3499999999995</c:v>
                      </c:pt>
                      <c:pt idx="237">
                        <c:v>21.359999999999498</c:v>
                      </c:pt>
                      <c:pt idx="238">
                        <c:v>21.3699999999995</c:v>
                      </c:pt>
                      <c:pt idx="239">
                        <c:v>21.379999999999502</c:v>
                      </c:pt>
                      <c:pt idx="240">
                        <c:v>21.3899999999995</c:v>
                      </c:pt>
                      <c:pt idx="241">
                        <c:v>21.399999999999501</c:v>
                      </c:pt>
                      <c:pt idx="242">
                        <c:v>21.409999999999499</c:v>
                      </c:pt>
                      <c:pt idx="243">
                        <c:v>21.419999999999501</c:v>
                      </c:pt>
                      <c:pt idx="244">
                        <c:v>21.429999999999502</c:v>
                      </c:pt>
                      <c:pt idx="245">
                        <c:v>21.4399999999995</c:v>
                      </c:pt>
                      <c:pt idx="246">
                        <c:v>21.449999999999498</c:v>
                      </c:pt>
                      <c:pt idx="247">
                        <c:v>21.459999999999503</c:v>
                      </c:pt>
                      <c:pt idx="248">
                        <c:v>21.469999999999501</c:v>
                      </c:pt>
                      <c:pt idx="249">
                        <c:v>21.479999999999499</c:v>
                      </c:pt>
                      <c:pt idx="250">
                        <c:v>21.489999999999505</c:v>
                      </c:pt>
                      <c:pt idx="251">
                        <c:v>21.499999999999496</c:v>
                      </c:pt>
                      <c:pt idx="252">
                        <c:v>21.509999999999501</c:v>
                      </c:pt>
                      <c:pt idx="253">
                        <c:v>21.519999999999499</c:v>
                      </c:pt>
                      <c:pt idx="254">
                        <c:v>21.529999999999497</c:v>
                      </c:pt>
                      <c:pt idx="255">
                        <c:v>21.539999999999502</c:v>
                      </c:pt>
                      <c:pt idx="256">
                        <c:v>21.5499999999995</c:v>
                      </c:pt>
                      <c:pt idx="257">
                        <c:v>21.559999999999498</c:v>
                      </c:pt>
                      <c:pt idx="258">
                        <c:v>21.569999999999499</c:v>
                      </c:pt>
                      <c:pt idx="259">
                        <c:v>21.579999999999501</c:v>
                      </c:pt>
                      <c:pt idx="260">
                        <c:v>21.589999999999499</c:v>
                      </c:pt>
                      <c:pt idx="261">
                        <c:v>21.5999999999995</c:v>
                      </c:pt>
                      <c:pt idx="262">
                        <c:v>21.609999999999498</c:v>
                      </c:pt>
                      <c:pt idx="263">
                        <c:v>21.6199999999995</c:v>
                      </c:pt>
                      <c:pt idx="264">
                        <c:v>21.629999999999502</c:v>
                      </c:pt>
                      <c:pt idx="265">
                        <c:v>21.6399999999995</c:v>
                      </c:pt>
                      <c:pt idx="266">
                        <c:v>21.649999999999501</c:v>
                      </c:pt>
                      <c:pt idx="267">
                        <c:v>21.659999999999499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Wertetabelle!$N$2:$N$269</c15:sqref>
                        </c15:formulaRef>
                      </c:ext>
                    </c:extLst>
                    <c:numCache>
                      <c:formatCode>General</c:formatCode>
                      <c:ptCount val="26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7C1-4B19-AE48-1DF812A9CDE0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Wertetabelle!$O$1</c15:sqref>
                        </c15:formulaRef>
                      </c:ext>
                    </c:extLst>
                    <c:strCache>
                      <c:ptCount val="1"/>
                      <c:pt idx="0">
                        <c:v>MVAr (ind.) B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Wertetabelle!$F$2:$F$269</c15:sqref>
                        </c15:formulaRef>
                      </c:ext>
                    </c:extLst>
                    <c:numCache>
                      <c:formatCode>0.00</c:formatCode>
                      <c:ptCount val="268"/>
                      <c:pt idx="0">
                        <c:v>18.5</c:v>
                      </c:pt>
                      <c:pt idx="1">
                        <c:v>19</c:v>
                      </c:pt>
                      <c:pt idx="2">
                        <c:v>19.010000000000002</c:v>
                      </c:pt>
                      <c:pt idx="3">
                        <c:v>19.02</c:v>
                      </c:pt>
                      <c:pt idx="4">
                        <c:v>19.03</c:v>
                      </c:pt>
                      <c:pt idx="5">
                        <c:v>19.04</c:v>
                      </c:pt>
                      <c:pt idx="6">
                        <c:v>19.05</c:v>
                      </c:pt>
                      <c:pt idx="7">
                        <c:v>19.059999999999999</c:v>
                      </c:pt>
                      <c:pt idx="8">
                        <c:v>19.07</c:v>
                      </c:pt>
                      <c:pt idx="9">
                        <c:v>19.079999999999998</c:v>
                      </c:pt>
                      <c:pt idx="10">
                        <c:v>19.09</c:v>
                      </c:pt>
                      <c:pt idx="11">
                        <c:v>19.100000000000001</c:v>
                      </c:pt>
                      <c:pt idx="12">
                        <c:v>19.11</c:v>
                      </c:pt>
                      <c:pt idx="13">
                        <c:v>19.12</c:v>
                      </c:pt>
                      <c:pt idx="14">
                        <c:v>19.13</c:v>
                      </c:pt>
                      <c:pt idx="15">
                        <c:v>19.14</c:v>
                      </c:pt>
                      <c:pt idx="16">
                        <c:v>19.149999999999999</c:v>
                      </c:pt>
                      <c:pt idx="17">
                        <c:v>19.16</c:v>
                      </c:pt>
                      <c:pt idx="18">
                        <c:v>19.170000000000002</c:v>
                      </c:pt>
                      <c:pt idx="19">
                        <c:v>19.18</c:v>
                      </c:pt>
                      <c:pt idx="20">
                        <c:v>19.190000000000001</c:v>
                      </c:pt>
                      <c:pt idx="21">
                        <c:v>19.2</c:v>
                      </c:pt>
                      <c:pt idx="22">
                        <c:v>19.21</c:v>
                      </c:pt>
                      <c:pt idx="23">
                        <c:v>19.22</c:v>
                      </c:pt>
                      <c:pt idx="24">
                        <c:v>19.23</c:v>
                      </c:pt>
                      <c:pt idx="25">
                        <c:v>19.239999999999998</c:v>
                      </c:pt>
                      <c:pt idx="26">
                        <c:v>19.25</c:v>
                      </c:pt>
                      <c:pt idx="27">
                        <c:v>19.260000000000002</c:v>
                      </c:pt>
                      <c:pt idx="28">
                        <c:v>19.2699999999999</c:v>
                      </c:pt>
                      <c:pt idx="29">
                        <c:v>19.279999999999902</c:v>
                      </c:pt>
                      <c:pt idx="30">
                        <c:v>19.2899999999999</c:v>
                      </c:pt>
                      <c:pt idx="31">
                        <c:v>19.299999999999901</c:v>
                      </c:pt>
                      <c:pt idx="32">
                        <c:v>19.309999999999899</c:v>
                      </c:pt>
                      <c:pt idx="33">
                        <c:v>19.319999999999901</c:v>
                      </c:pt>
                      <c:pt idx="34">
                        <c:v>19.329999999999899</c:v>
                      </c:pt>
                      <c:pt idx="35">
                        <c:v>19.3399999999999</c:v>
                      </c:pt>
                      <c:pt idx="36">
                        <c:v>19.349999999999898</c:v>
                      </c:pt>
                      <c:pt idx="37">
                        <c:v>19.3599999999999</c:v>
                      </c:pt>
                      <c:pt idx="38">
                        <c:v>19.369999999999902</c:v>
                      </c:pt>
                      <c:pt idx="39">
                        <c:v>19.3799999999999</c:v>
                      </c:pt>
                      <c:pt idx="40">
                        <c:v>19.389999999999901</c:v>
                      </c:pt>
                      <c:pt idx="41">
                        <c:v>19.399999999999899</c:v>
                      </c:pt>
                      <c:pt idx="42">
                        <c:v>19.409999999999901</c:v>
                      </c:pt>
                      <c:pt idx="43">
                        <c:v>19.419999999999899</c:v>
                      </c:pt>
                      <c:pt idx="44">
                        <c:v>19.4299999999999</c:v>
                      </c:pt>
                      <c:pt idx="45">
                        <c:v>19.439999999999898</c:v>
                      </c:pt>
                      <c:pt idx="46">
                        <c:v>19.4499999999999</c:v>
                      </c:pt>
                      <c:pt idx="47">
                        <c:v>19.459999999999901</c:v>
                      </c:pt>
                      <c:pt idx="48">
                        <c:v>19.469999999999899</c:v>
                      </c:pt>
                      <c:pt idx="49">
                        <c:v>19.479999999999901</c:v>
                      </c:pt>
                      <c:pt idx="50">
                        <c:v>19.489999999999899</c:v>
                      </c:pt>
                      <c:pt idx="51">
                        <c:v>19.499999999999901</c:v>
                      </c:pt>
                      <c:pt idx="52">
                        <c:v>19.509999999999899</c:v>
                      </c:pt>
                      <c:pt idx="53">
                        <c:v>19.5199999999999</c:v>
                      </c:pt>
                      <c:pt idx="54">
                        <c:v>19.529999999999902</c:v>
                      </c:pt>
                      <c:pt idx="55">
                        <c:v>19.5399999999999</c:v>
                      </c:pt>
                      <c:pt idx="56">
                        <c:v>19.549999999999901</c:v>
                      </c:pt>
                      <c:pt idx="57">
                        <c:v>19.559999999999899</c:v>
                      </c:pt>
                      <c:pt idx="58">
                        <c:v>19.569999999999901</c:v>
                      </c:pt>
                      <c:pt idx="59">
                        <c:v>19.579999999999899</c:v>
                      </c:pt>
                      <c:pt idx="60">
                        <c:v>19.5899999999999</c:v>
                      </c:pt>
                      <c:pt idx="61">
                        <c:v>19.599999999999898</c:v>
                      </c:pt>
                      <c:pt idx="62">
                        <c:v>19.6099999999999</c:v>
                      </c:pt>
                      <c:pt idx="63">
                        <c:v>19.619999999999902</c:v>
                      </c:pt>
                      <c:pt idx="64">
                        <c:v>19.6299999999999</c:v>
                      </c:pt>
                      <c:pt idx="65">
                        <c:v>19.639999999999901</c:v>
                      </c:pt>
                      <c:pt idx="66">
                        <c:v>19.649999999999899</c:v>
                      </c:pt>
                      <c:pt idx="67">
                        <c:v>19.659999999999901</c:v>
                      </c:pt>
                      <c:pt idx="68">
                        <c:v>19.669999999999899</c:v>
                      </c:pt>
                      <c:pt idx="69">
                        <c:v>19.6799999999999</c:v>
                      </c:pt>
                      <c:pt idx="70">
                        <c:v>19.689999999999898</c:v>
                      </c:pt>
                      <c:pt idx="71">
                        <c:v>19.6999999999999</c:v>
                      </c:pt>
                      <c:pt idx="72">
                        <c:v>19.709999999999901</c:v>
                      </c:pt>
                      <c:pt idx="73">
                        <c:v>19.719999999999899</c:v>
                      </c:pt>
                      <c:pt idx="74">
                        <c:v>19.729999999999901</c:v>
                      </c:pt>
                      <c:pt idx="75">
                        <c:v>19.739999999999899</c:v>
                      </c:pt>
                      <c:pt idx="76">
                        <c:v>19.749999999999901</c:v>
                      </c:pt>
                      <c:pt idx="77">
                        <c:v>19.759999999999899</c:v>
                      </c:pt>
                      <c:pt idx="78">
                        <c:v>19.7699999999999</c:v>
                      </c:pt>
                      <c:pt idx="79">
                        <c:v>19.779999999999799</c:v>
                      </c:pt>
                      <c:pt idx="80">
                        <c:v>19.7899999999998</c:v>
                      </c:pt>
                      <c:pt idx="81">
                        <c:v>19.799999999999802</c:v>
                      </c:pt>
                      <c:pt idx="82">
                        <c:v>19.8099999999998</c:v>
                      </c:pt>
                      <c:pt idx="83">
                        <c:v>19.819999999999801</c:v>
                      </c:pt>
                      <c:pt idx="84">
                        <c:v>19.829999999999799</c:v>
                      </c:pt>
                      <c:pt idx="85">
                        <c:v>19.839999999999801</c:v>
                      </c:pt>
                      <c:pt idx="86">
                        <c:v>19.849999999999799</c:v>
                      </c:pt>
                      <c:pt idx="87">
                        <c:v>19.8599999999998</c:v>
                      </c:pt>
                      <c:pt idx="88">
                        <c:v>19.869999999999798</c:v>
                      </c:pt>
                      <c:pt idx="89">
                        <c:v>19.8799999999998</c:v>
                      </c:pt>
                      <c:pt idx="90">
                        <c:v>19.889999999999802</c:v>
                      </c:pt>
                      <c:pt idx="91">
                        <c:v>19.8999999999998</c:v>
                      </c:pt>
                      <c:pt idx="92">
                        <c:v>19.909999999999801</c:v>
                      </c:pt>
                      <c:pt idx="93">
                        <c:v>19.919999999999799</c:v>
                      </c:pt>
                      <c:pt idx="94">
                        <c:v>19.929999999999801</c:v>
                      </c:pt>
                      <c:pt idx="95">
                        <c:v>19.939999999999799</c:v>
                      </c:pt>
                      <c:pt idx="96">
                        <c:v>19.9499999999998</c:v>
                      </c:pt>
                      <c:pt idx="97">
                        <c:v>19.959999999999798</c:v>
                      </c:pt>
                      <c:pt idx="98">
                        <c:v>19.9699999999998</c:v>
                      </c:pt>
                      <c:pt idx="99">
                        <c:v>19.979999999999801</c:v>
                      </c:pt>
                      <c:pt idx="100">
                        <c:v>19.989999999999799</c:v>
                      </c:pt>
                      <c:pt idx="101">
                        <c:v>19.999999999999801</c:v>
                      </c:pt>
                      <c:pt idx="102">
                        <c:v>20.009999999999799</c:v>
                      </c:pt>
                      <c:pt idx="103">
                        <c:v>20.019999999999804</c:v>
                      </c:pt>
                      <c:pt idx="104">
                        <c:v>20.029999999999795</c:v>
                      </c:pt>
                      <c:pt idx="105">
                        <c:v>20.0399999999998</c:v>
                      </c:pt>
                      <c:pt idx="106">
                        <c:v>20.049999999999805</c:v>
                      </c:pt>
                      <c:pt idx="107">
                        <c:v>20.059999999999796</c:v>
                      </c:pt>
                      <c:pt idx="108">
                        <c:v>20.069999999999801</c:v>
                      </c:pt>
                      <c:pt idx="109">
                        <c:v>20.079999999999799</c:v>
                      </c:pt>
                      <c:pt idx="110">
                        <c:v>20.089999999999797</c:v>
                      </c:pt>
                      <c:pt idx="111">
                        <c:v>20.099999999999799</c:v>
                      </c:pt>
                      <c:pt idx="112">
                        <c:v>20.1099999999998</c:v>
                      </c:pt>
                      <c:pt idx="113">
                        <c:v>20.119999999999798</c:v>
                      </c:pt>
                      <c:pt idx="114">
                        <c:v>20.1299999999998</c:v>
                      </c:pt>
                      <c:pt idx="115">
                        <c:v>20.139999999999802</c:v>
                      </c:pt>
                      <c:pt idx="116">
                        <c:v>20.1499999999998</c:v>
                      </c:pt>
                      <c:pt idx="117">
                        <c:v>20.159999999999801</c:v>
                      </c:pt>
                      <c:pt idx="118">
                        <c:v>20.169999999999799</c:v>
                      </c:pt>
                      <c:pt idx="119">
                        <c:v>20.179999999999801</c:v>
                      </c:pt>
                      <c:pt idx="120">
                        <c:v>20.189999999999799</c:v>
                      </c:pt>
                      <c:pt idx="121">
                        <c:v>20.1999999999998</c:v>
                      </c:pt>
                      <c:pt idx="122">
                        <c:v>20.209999999999798</c:v>
                      </c:pt>
                      <c:pt idx="123">
                        <c:v>20.2199999999998</c:v>
                      </c:pt>
                      <c:pt idx="124">
                        <c:v>20.229999999999801</c:v>
                      </c:pt>
                      <c:pt idx="125">
                        <c:v>20.239999999999799</c:v>
                      </c:pt>
                      <c:pt idx="126">
                        <c:v>20.249999999999801</c:v>
                      </c:pt>
                      <c:pt idx="127">
                        <c:v>20.259999999999799</c:v>
                      </c:pt>
                      <c:pt idx="128">
                        <c:v>20.269999999999801</c:v>
                      </c:pt>
                      <c:pt idx="129">
                        <c:v>20.279999999999802</c:v>
                      </c:pt>
                      <c:pt idx="130">
                        <c:v>20.2899999999998</c:v>
                      </c:pt>
                      <c:pt idx="131">
                        <c:v>20.299999999999699</c:v>
                      </c:pt>
                      <c:pt idx="132">
                        <c:v>20.3099999999997</c:v>
                      </c:pt>
                      <c:pt idx="133">
                        <c:v>20.319999999999698</c:v>
                      </c:pt>
                      <c:pt idx="134">
                        <c:v>20.3299999999997</c:v>
                      </c:pt>
                      <c:pt idx="135">
                        <c:v>20.339999999999701</c:v>
                      </c:pt>
                      <c:pt idx="136">
                        <c:v>20.349999999999699</c:v>
                      </c:pt>
                      <c:pt idx="137">
                        <c:v>20.359999999999701</c:v>
                      </c:pt>
                      <c:pt idx="138">
                        <c:v>20.369999999999699</c:v>
                      </c:pt>
                      <c:pt idx="139">
                        <c:v>20.379999999999701</c:v>
                      </c:pt>
                      <c:pt idx="140">
                        <c:v>20.389999999999699</c:v>
                      </c:pt>
                      <c:pt idx="141">
                        <c:v>20.3999999999997</c:v>
                      </c:pt>
                      <c:pt idx="142">
                        <c:v>20.409999999999702</c:v>
                      </c:pt>
                      <c:pt idx="143">
                        <c:v>20.4199999999997</c:v>
                      </c:pt>
                      <c:pt idx="144">
                        <c:v>20.429999999999701</c:v>
                      </c:pt>
                      <c:pt idx="145">
                        <c:v>20.439999999999699</c:v>
                      </c:pt>
                      <c:pt idx="146">
                        <c:v>20.449999999999701</c:v>
                      </c:pt>
                      <c:pt idx="147">
                        <c:v>20.459999999999702</c:v>
                      </c:pt>
                      <c:pt idx="148">
                        <c:v>20.4699999999997</c:v>
                      </c:pt>
                      <c:pt idx="149">
                        <c:v>20.479999999999698</c:v>
                      </c:pt>
                      <c:pt idx="150">
                        <c:v>20.489999999999704</c:v>
                      </c:pt>
                      <c:pt idx="151">
                        <c:v>20.499999999999702</c:v>
                      </c:pt>
                      <c:pt idx="152">
                        <c:v>20.5099999999997</c:v>
                      </c:pt>
                      <c:pt idx="153">
                        <c:v>20.519999999999705</c:v>
                      </c:pt>
                      <c:pt idx="154">
                        <c:v>20.529999999999696</c:v>
                      </c:pt>
                      <c:pt idx="155">
                        <c:v>20.539999999999701</c:v>
                      </c:pt>
                      <c:pt idx="156">
                        <c:v>20.549999999999699</c:v>
                      </c:pt>
                      <c:pt idx="157">
                        <c:v>20.559999999999697</c:v>
                      </c:pt>
                      <c:pt idx="158">
                        <c:v>20.569999999999698</c:v>
                      </c:pt>
                      <c:pt idx="159">
                        <c:v>20.5799999999997</c:v>
                      </c:pt>
                      <c:pt idx="160">
                        <c:v>20.589999999999698</c:v>
                      </c:pt>
                      <c:pt idx="161">
                        <c:v>20.599999999999699</c:v>
                      </c:pt>
                      <c:pt idx="162">
                        <c:v>20.609999999999701</c:v>
                      </c:pt>
                      <c:pt idx="163">
                        <c:v>20.619999999999699</c:v>
                      </c:pt>
                      <c:pt idx="164">
                        <c:v>20.629999999999701</c:v>
                      </c:pt>
                      <c:pt idx="165">
                        <c:v>20.639999999999699</c:v>
                      </c:pt>
                      <c:pt idx="166">
                        <c:v>20.6499999999997</c:v>
                      </c:pt>
                      <c:pt idx="167">
                        <c:v>20.659999999999702</c:v>
                      </c:pt>
                      <c:pt idx="168">
                        <c:v>20.6699999999997</c:v>
                      </c:pt>
                      <c:pt idx="169">
                        <c:v>20.679999999999701</c:v>
                      </c:pt>
                      <c:pt idx="170">
                        <c:v>20.689999999999699</c:v>
                      </c:pt>
                      <c:pt idx="171">
                        <c:v>20.699999999999701</c:v>
                      </c:pt>
                      <c:pt idx="172">
                        <c:v>20.709999999999699</c:v>
                      </c:pt>
                      <c:pt idx="173">
                        <c:v>20.7199999999997</c:v>
                      </c:pt>
                      <c:pt idx="174">
                        <c:v>20.729999999999698</c:v>
                      </c:pt>
                      <c:pt idx="175">
                        <c:v>20.7399999999997</c:v>
                      </c:pt>
                      <c:pt idx="176">
                        <c:v>20.749999999999702</c:v>
                      </c:pt>
                      <c:pt idx="177">
                        <c:v>20.7599999999996</c:v>
                      </c:pt>
                      <c:pt idx="178">
                        <c:v>20.769999999999701</c:v>
                      </c:pt>
                      <c:pt idx="179">
                        <c:v>20.779999999999703</c:v>
                      </c:pt>
                      <c:pt idx="180">
                        <c:v>20.789999999999701</c:v>
                      </c:pt>
                      <c:pt idx="181">
                        <c:v>20.799999999999599</c:v>
                      </c:pt>
                      <c:pt idx="182">
                        <c:v>20.809999999999601</c:v>
                      </c:pt>
                      <c:pt idx="183">
                        <c:v>20.819999999999599</c:v>
                      </c:pt>
                      <c:pt idx="184">
                        <c:v>20.8299999999996</c:v>
                      </c:pt>
                      <c:pt idx="185">
                        <c:v>20.839999999999598</c:v>
                      </c:pt>
                      <c:pt idx="186">
                        <c:v>20.8499999999996</c:v>
                      </c:pt>
                      <c:pt idx="187">
                        <c:v>20.859999999999602</c:v>
                      </c:pt>
                      <c:pt idx="188">
                        <c:v>20.8699999999996</c:v>
                      </c:pt>
                      <c:pt idx="189">
                        <c:v>20.879999999999601</c:v>
                      </c:pt>
                      <c:pt idx="190">
                        <c:v>20.889999999999599</c:v>
                      </c:pt>
                      <c:pt idx="191">
                        <c:v>20.899999999999601</c:v>
                      </c:pt>
                      <c:pt idx="192">
                        <c:v>20.909999999999599</c:v>
                      </c:pt>
                      <c:pt idx="193">
                        <c:v>20.9199999999996</c:v>
                      </c:pt>
                      <c:pt idx="194">
                        <c:v>20.929999999999602</c:v>
                      </c:pt>
                      <c:pt idx="195">
                        <c:v>20.9399999999996</c:v>
                      </c:pt>
                      <c:pt idx="196">
                        <c:v>20.949999999999601</c:v>
                      </c:pt>
                      <c:pt idx="197">
                        <c:v>20.959999999999603</c:v>
                      </c:pt>
                      <c:pt idx="198">
                        <c:v>20.969999999999601</c:v>
                      </c:pt>
                      <c:pt idx="199">
                        <c:v>20.979999999999599</c:v>
                      </c:pt>
                      <c:pt idx="200">
                        <c:v>20.989999999999604</c:v>
                      </c:pt>
                      <c:pt idx="201">
                        <c:v>20.999999999999595</c:v>
                      </c:pt>
                      <c:pt idx="202">
                        <c:v>21.0099999999996</c:v>
                      </c:pt>
                      <c:pt idx="203">
                        <c:v>21.019999999999605</c:v>
                      </c:pt>
                      <c:pt idx="204">
                        <c:v>21.029999999999596</c:v>
                      </c:pt>
                      <c:pt idx="205">
                        <c:v>21.039999999999601</c:v>
                      </c:pt>
                      <c:pt idx="206">
                        <c:v>21.049999999999599</c:v>
                      </c:pt>
                      <c:pt idx="207">
                        <c:v>21.059999999999597</c:v>
                      </c:pt>
                      <c:pt idx="208">
                        <c:v>21.069999999999599</c:v>
                      </c:pt>
                      <c:pt idx="209">
                        <c:v>21.0799999999996</c:v>
                      </c:pt>
                      <c:pt idx="210">
                        <c:v>21.089999999999598</c:v>
                      </c:pt>
                      <c:pt idx="211">
                        <c:v>21.0999999999996</c:v>
                      </c:pt>
                      <c:pt idx="212">
                        <c:v>21.109999999999602</c:v>
                      </c:pt>
                      <c:pt idx="213">
                        <c:v>21.1199999999996</c:v>
                      </c:pt>
                      <c:pt idx="214">
                        <c:v>21.129999999999601</c:v>
                      </c:pt>
                      <c:pt idx="215">
                        <c:v>21.139999999999599</c:v>
                      </c:pt>
                      <c:pt idx="216">
                        <c:v>21.149999999999601</c:v>
                      </c:pt>
                      <c:pt idx="217">
                        <c:v>21.159999999999599</c:v>
                      </c:pt>
                      <c:pt idx="218">
                        <c:v>21.1699999999996</c:v>
                      </c:pt>
                      <c:pt idx="219">
                        <c:v>21.179999999999598</c:v>
                      </c:pt>
                      <c:pt idx="220">
                        <c:v>21.1899999999996</c:v>
                      </c:pt>
                      <c:pt idx="221">
                        <c:v>21.199999999999601</c:v>
                      </c:pt>
                      <c:pt idx="222">
                        <c:v>21.209999999999599</c:v>
                      </c:pt>
                      <c:pt idx="223">
                        <c:v>21.219999999999601</c:v>
                      </c:pt>
                      <c:pt idx="224">
                        <c:v>21.229999999999599</c:v>
                      </c:pt>
                      <c:pt idx="225">
                        <c:v>21.239999999999601</c:v>
                      </c:pt>
                      <c:pt idx="226">
                        <c:v>21.249999999999602</c:v>
                      </c:pt>
                      <c:pt idx="227">
                        <c:v>21.2599999999996</c:v>
                      </c:pt>
                      <c:pt idx="228">
                        <c:v>21.269999999999602</c:v>
                      </c:pt>
                      <c:pt idx="229">
                        <c:v>21.279999999999603</c:v>
                      </c:pt>
                      <c:pt idx="230">
                        <c:v>21.289999999999601</c:v>
                      </c:pt>
                      <c:pt idx="231">
                        <c:v>21.2999999999995</c:v>
                      </c:pt>
                      <c:pt idx="232">
                        <c:v>21.309999999999501</c:v>
                      </c:pt>
                      <c:pt idx="233">
                        <c:v>21.319999999999499</c:v>
                      </c:pt>
                      <c:pt idx="234">
                        <c:v>21.329999999999501</c:v>
                      </c:pt>
                      <c:pt idx="235">
                        <c:v>21.339999999999499</c:v>
                      </c:pt>
                      <c:pt idx="236">
                        <c:v>21.3499999999995</c:v>
                      </c:pt>
                      <c:pt idx="237">
                        <c:v>21.359999999999498</c:v>
                      </c:pt>
                      <c:pt idx="238">
                        <c:v>21.3699999999995</c:v>
                      </c:pt>
                      <c:pt idx="239">
                        <c:v>21.379999999999502</c:v>
                      </c:pt>
                      <c:pt idx="240">
                        <c:v>21.3899999999995</c:v>
                      </c:pt>
                      <c:pt idx="241">
                        <c:v>21.399999999999501</c:v>
                      </c:pt>
                      <c:pt idx="242">
                        <c:v>21.409999999999499</c:v>
                      </c:pt>
                      <c:pt idx="243">
                        <c:v>21.419999999999501</c:v>
                      </c:pt>
                      <c:pt idx="244">
                        <c:v>21.429999999999502</c:v>
                      </c:pt>
                      <c:pt idx="245">
                        <c:v>21.4399999999995</c:v>
                      </c:pt>
                      <c:pt idx="246">
                        <c:v>21.449999999999498</c:v>
                      </c:pt>
                      <c:pt idx="247">
                        <c:v>21.459999999999503</c:v>
                      </c:pt>
                      <c:pt idx="248">
                        <c:v>21.469999999999501</c:v>
                      </c:pt>
                      <c:pt idx="249">
                        <c:v>21.479999999999499</c:v>
                      </c:pt>
                      <c:pt idx="250">
                        <c:v>21.489999999999505</c:v>
                      </c:pt>
                      <c:pt idx="251">
                        <c:v>21.499999999999496</c:v>
                      </c:pt>
                      <c:pt idx="252">
                        <c:v>21.509999999999501</c:v>
                      </c:pt>
                      <c:pt idx="253">
                        <c:v>21.519999999999499</c:v>
                      </c:pt>
                      <c:pt idx="254">
                        <c:v>21.529999999999497</c:v>
                      </c:pt>
                      <c:pt idx="255">
                        <c:v>21.539999999999502</c:v>
                      </c:pt>
                      <c:pt idx="256">
                        <c:v>21.5499999999995</c:v>
                      </c:pt>
                      <c:pt idx="257">
                        <c:v>21.559999999999498</c:v>
                      </c:pt>
                      <c:pt idx="258">
                        <c:v>21.569999999999499</c:v>
                      </c:pt>
                      <c:pt idx="259">
                        <c:v>21.579999999999501</c:v>
                      </c:pt>
                      <c:pt idx="260">
                        <c:v>21.589999999999499</c:v>
                      </c:pt>
                      <c:pt idx="261">
                        <c:v>21.5999999999995</c:v>
                      </c:pt>
                      <c:pt idx="262">
                        <c:v>21.609999999999498</c:v>
                      </c:pt>
                      <c:pt idx="263">
                        <c:v>21.6199999999995</c:v>
                      </c:pt>
                      <c:pt idx="264">
                        <c:v>21.629999999999502</c:v>
                      </c:pt>
                      <c:pt idx="265">
                        <c:v>21.6399999999995</c:v>
                      </c:pt>
                      <c:pt idx="266">
                        <c:v>21.649999999999501</c:v>
                      </c:pt>
                      <c:pt idx="267">
                        <c:v>21.659999999999499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Wertetabelle!$O$2:$O$269</c15:sqref>
                        </c15:formulaRef>
                      </c:ext>
                    </c:extLst>
                    <c:numCache>
                      <c:formatCode>General</c:formatCode>
                      <c:ptCount val="26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7C1-4B19-AE48-1DF812A9CDE0}"/>
                  </c:ext>
                </c:extLst>
              </c15:ser>
            </c15:filteredScatterSeries>
          </c:ext>
        </c:extLst>
      </c:scatterChart>
      <c:valAx>
        <c:axId val="379538912"/>
        <c:scaling>
          <c:orientation val="minMax"/>
          <c:max val="11"/>
          <c:min val="9.199999999999999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9516608"/>
        <c:crosses val="autoZero"/>
        <c:crossBetween val="midCat"/>
      </c:valAx>
      <c:valAx>
        <c:axId val="3795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9538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99753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99753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99753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99753</xdr:colOff>
          <xdr:row>8</xdr:row>
          <xdr:rowOff>99753</xdr:rowOff>
        </xdr:from>
        <xdr:to>
          <xdr:col>30</xdr:col>
          <xdr:colOff>99753</xdr:colOff>
          <xdr:row>8</xdr:row>
          <xdr:rowOff>257695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99753</xdr:colOff>
          <xdr:row>8</xdr:row>
          <xdr:rowOff>99753</xdr:rowOff>
        </xdr:from>
        <xdr:to>
          <xdr:col>30</xdr:col>
          <xdr:colOff>99753</xdr:colOff>
          <xdr:row>8</xdr:row>
          <xdr:rowOff>257695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99753</xdr:colOff>
          <xdr:row>8</xdr:row>
          <xdr:rowOff>99753</xdr:rowOff>
        </xdr:from>
        <xdr:to>
          <xdr:col>30</xdr:col>
          <xdr:colOff>99753</xdr:colOff>
          <xdr:row>8</xdr:row>
          <xdr:rowOff>257695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16625</xdr:colOff>
          <xdr:row>24</xdr:row>
          <xdr:rowOff>116378</xdr:rowOff>
        </xdr:from>
        <xdr:to>
          <xdr:col>8</xdr:col>
          <xdr:colOff>16625</xdr:colOff>
          <xdr:row>25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16625</xdr:colOff>
          <xdr:row>24</xdr:row>
          <xdr:rowOff>116378</xdr:rowOff>
        </xdr:from>
        <xdr:to>
          <xdr:col>8</xdr:col>
          <xdr:colOff>16625</xdr:colOff>
          <xdr:row>25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16625</xdr:colOff>
          <xdr:row>24</xdr:row>
          <xdr:rowOff>116378</xdr:rowOff>
        </xdr:from>
        <xdr:to>
          <xdr:col>8</xdr:col>
          <xdr:colOff>16625</xdr:colOff>
          <xdr:row>25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49876</xdr:colOff>
          <xdr:row>24</xdr:row>
          <xdr:rowOff>116378</xdr:rowOff>
        </xdr:from>
        <xdr:to>
          <xdr:col>22</xdr:col>
          <xdr:colOff>49876</xdr:colOff>
          <xdr:row>25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49876</xdr:colOff>
          <xdr:row>24</xdr:row>
          <xdr:rowOff>116378</xdr:rowOff>
        </xdr:from>
        <xdr:to>
          <xdr:col>22</xdr:col>
          <xdr:colOff>49876</xdr:colOff>
          <xdr:row>25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49876</xdr:colOff>
          <xdr:row>24</xdr:row>
          <xdr:rowOff>116378</xdr:rowOff>
        </xdr:from>
        <xdr:to>
          <xdr:col>22</xdr:col>
          <xdr:colOff>49876</xdr:colOff>
          <xdr:row>25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16625</xdr:colOff>
          <xdr:row>24</xdr:row>
          <xdr:rowOff>116378</xdr:rowOff>
        </xdr:from>
        <xdr:to>
          <xdr:col>20</xdr:col>
          <xdr:colOff>16625</xdr:colOff>
          <xdr:row>25</xdr:row>
          <xdr:rowOff>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0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16625</xdr:colOff>
          <xdr:row>24</xdr:row>
          <xdr:rowOff>116378</xdr:rowOff>
        </xdr:from>
        <xdr:to>
          <xdr:col>20</xdr:col>
          <xdr:colOff>16625</xdr:colOff>
          <xdr:row>25</xdr:row>
          <xdr:rowOff>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0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16625</xdr:colOff>
          <xdr:row>24</xdr:row>
          <xdr:rowOff>116378</xdr:rowOff>
        </xdr:from>
        <xdr:to>
          <xdr:col>20</xdr:col>
          <xdr:colOff>16625</xdr:colOff>
          <xdr:row>25</xdr:row>
          <xdr:rowOff>0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78798</xdr:colOff>
      <xdr:row>34</xdr:row>
      <xdr:rowOff>212913</xdr:rowOff>
    </xdr:from>
    <xdr:to>
      <xdr:col>51</xdr:col>
      <xdr:colOff>251980</xdr:colOff>
      <xdr:row>60</xdr:row>
      <xdr:rowOff>134471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866</xdr:colOff>
      <xdr:row>9</xdr:row>
      <xdr:rowOff>13854</xdr:rowOff>
    </xdr:from>
    <xdr:to>
      <xdr:col>51</xdr:col>
      <xdr:colOff>266699</xdr:colOff>
      <xdr:row>19</xdr:row>
      <xdr:rowOff>1732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34641</xdr:colOff>
      <xdr:row>41</xdr:row>
      <xdr:rowOff>85059</xdr:rowOff>
    </xdr:from>
    <xdr:to>
      <xdr:col>41</xdr:col>
      <xdr:colOff>158610</xdr:colOff>
      <xdr:row>42</xdr:row>
      <xdr:rowOff>50969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8957688">
          <a:off x="11390558" y="10668392"/>
          <a:ext cx="1298719" cy="2304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Q(U)-Obergrenze</a:t>
          </a:r>
        </a:p>
      </xdr:txBody>
    </xdr:sp>
    <xdr:clientData/>
  </xdr:twoCellAnchor>
  <xdr:twoCellAnchor>
    <xdr:from>
      <xdr:col>19</xdr:col>
      <xdr:colOff>39168</xdr:colOff>
      <xdr:row>41</xdr:row>
      <xdr:rowOff>58054</xdr:rowOff>
    </xdr:from>
    <xdr:to>
      <xdr:col>23</xdr:col>
      <xdr:colOff>126496</xdr:colOff>
      <xdr:row>42</xdr:row>
      <xdr:rowOff>34850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rot="18969461">
          <a:off x="6037197" y="10943768"/>
          <a:ext cx="1350070" cy="248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Q(U)-Untergrenze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99753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284" name="Check Box 1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99753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285" name="Check Box 2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99753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286" name="Check Box 3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52</xdr:col>
      <xdr:colOff>268940</xdr:colOff>
      <xdr:row>6</xdr:row>
      <xdr:rowOff>11206</xdr:rowOff>
    </xdr:from>
    <xdr:to>
      <xdr:col>54</xdr:col>
      <xdr:colOff>44823</xdr:colOff>
      <xdr:row>7</xdr:row>
      <xdr:rowOff>235324</xdr:rowOff>
    </xdr:to>
    <xdr:sp macro="[0]!Start_timer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957175" y="1624853"/>
          <a:ext cx="1165413" cy="49305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START</a:t>
          </a:r>
        </a:p>
      </xdr:txBody>
    </xdr:sp>
    <xdr:clientData/>
  </xdr:twoCellAnchor>
  <xdr:twoCellAnchor>
    <xdr:from>
      <xdr:col>54</xdr:col>
      <xdr:colOff>213343</xdr:colOff>
      <xdr:row>6</xdr:row>
      <xdr:rowOff>18102</xdr:rowOff>
    </xdr:from>
    <xdr:to>
      <xdr:col>55</xdr:col>
      <xdr:colOff>706403</xdr:colOff>
      <xdr:row>7</xdr:row>
      <xdr:rowOff>242220</xdr:rowOff>
    </xdr:to>
    <xdr:sp macro="[0]!Stop_timer" textlink="">
      <xdr:nvSpPr>
        <xdr:cNvPr id="28" name="Rechteck: abgerundete Eck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7291108" y="1631749"/>
          <a:ext cx="1165413" cy="493059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STOP</a:t>
          </a:r>
        </a:p>
      </xdr:txBody>
    </xdr:sp>
    <xdr:clientData/>
  </xdr:twoCellAnchor>
  <xdr:twoCellAnchor>
    <xdr:from>
      <xdr:col>56</xdr:col>
      <xdr:colOff>76716</xdr:colOff>
      <xdr:row>6</xdr:row>
      <xdr:rowOff>12067</xdr:rowOff>
    </xdr:from>
    <xdr:to>
      <xdr:col>57</xdr:col>
      <xdr:colOff>614599</xdr:colOff>
      <xdr:row>7</xdr:row>
      <xdr:rowOff>231013</xdr:rowOff>
    </xdr:to>
    <xdr:sp macro="[0]!Reset_timer" textlink="">
      <xdr:nvSpPr>
        <xdr:cNvPr id="29" name="Rechteck: abgerundete Eck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8892254" y="1594682"/>
          <a:ext cx="1167999" cy="482716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RESET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99753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297" name="Check Box 1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99753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298" name="Check Box 2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99753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299" name="Check Box 3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99753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99753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99753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108065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305" name="Check Box 1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0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108065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306" name="Check Box 2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0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108065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307" name="Check Box 3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108065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108065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0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108065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0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108065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0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108065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312" name="Check Box 120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0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108065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313" name="Check Box 121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0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108065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0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108065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0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108065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0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57149</xdr:rowOff>
    </xdr:from>
    <xdr:to>
      <xdr:col>15</xdr:col>
      <xdr:colOff>200025</xdr:colOff>
      <xdr:row>35</xdr:row>
      <xdr:rowOff>152401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275292</xdr:colOff>
      <xdr:row>0</xdr:row>
      <xdr:rowOff>0</xdr:rowOff>
    </xdr:from>
    <xdr:to>
      <xdr:col>23</xdr:col>
      <xdr:colOff>696634</xdr:colOff>
      <xdr:row>17</xdr:row>
      <xdr:rowOff>168366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87992" y="0"/>
          <a:ext cx="7558742" cy="3483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409574</xdr:colOff>
      <xdr:row>6</xdr:row>
      <xdr:rowOff>19050</xdr:rowOff>
    </xdr:from>
    <xdr:to>
      <xdr:col>23</xdr:col>
      <xdr:colOff>742949</xdr:colOff>
      <xdr:row>29</xdr:row>
      <xdr:rowOff>9524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agensoner, Markus" id="{DA5A7C20-B9FE-468D-88AF-B7A04C399636}" userId="Wagensoner, Markus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B11" dT="2022-09-27T11:02:50.31" personId="{DA5A7C20-B9FE-468D-88AF-B7A04C399636}" id="{A9C7EE6B-5C7D-4B5D-9106-E1A94AC1F10B}">
    <text>(0,33 %/s bis 0,66 %/s von Pinst)</text>
  </threadedComment>
  <threadedComment ref="BE27" dT="2022-10-11T08:55:51.30" personId="{DA5A7C20-B9FE-468D-88AF-B7A04C399636}" id="{E46A777C-A78F-43AB-8A38-91B11EE08028}">
    <text>max. 2% bei ≥ 0,3 MVA, sonst max.  4% Abweichung bei Blindleistungsregelung, gesonderte Überprüfung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" dT="2022-09-23T07:59:47.28" personId="{DA5A7C20-B9FE-468D-88AF-B7A04C399636}" id="{81521D4B-119B-4A39-8255-93EF17E8998B}">
    <text>blaue Linie Links</text>
  </threadedComment>
  <threadedComment ref="M1" dT="2022-09-23T07:59:01.20" personId="{DA5A7C20-B9FE-468D-88AF-B7A04C399636}" id="{CB56DB8A-6970-4450-A9A5-07649A1F2A74}">
    <text>Blaue Linie Rechts</text>
  </threadedComment>
  <threadedComment ref="A2" dT="2022-09-22T10:46:36.46" personId="{DA5A7C20-B9FE-468D-88AF-B7A04C399636}" id="{6E463F80-1FB5-463D-9291-257EEA38A3F7}">
    <text>x-Werte der Kennlinien für die Knickpunkte im 20 kV Netz 
(siehe TAB S. 51)</text>
  </threadedComment>
  <threadedComment ref="A6" dT="2022-09-22T09:39:30.45" personId="{DA5A7C20-B9FE-468D-88AF-B7A04C399636}" id="{8836300F-F388-4193-8026-85017F9AD93C}">
    <text>Region 21,6 bzw. 21,8 kV
(autom. aus Protokoll_neu generiert)</text>
  </threadedComment>
  <threadedComment ref="A7" dT="2022-09-22T10:50:02.87" personId="{DA5A7C20-B9FE-468D-88AF-B7A04C399636}" id="{11DB429F-EB07-485A-A9B3-8D3721170DEA}">
    <text>Begrenzung der Blindleistung nach oben und unten VDE S. 51</text>
  </threadedComment>
  <threadedComment ref="A10" dT="2022-09-22T10:48:04.84" personId="{DA5A7C20-B9FE-468D-88AF-B7A04C399636}" id="{E2D499C3-8CFA-4774-8D7A-62822A3730C0}">
    <text>Knickpunkte der Kennlinien im 20 kV Netz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20" dT="2022-09-22T11:53:15.04" personId="{DA5A7C20-B9FE-468D-88AF-B7A04C399636}" id="{7FFB52C7-72A3-4B67-88C0-E13186DD3511}">
    <text>U-Wert nach der Regelung</text>
  </threadedComment>
  <threadedComment ref="C20" dT="2022-09-22T11:54:33.81" personId="{DA5A7C20-B9FE-468D-88AF-B7A04C399636}" id="{0E634C02-CCA3-4288-B047-FDB1BEAC037A}">
    <text>zugehörige Blindleistungswerte werden aus Spalten E-J gesucht, in Abhängigkeit der Spannung nach der Regelung</text>
  </threadedComment>
  <threadedComment ref="A27" dT="2022-09-22T11:53:03.53" personId="{DA5A7C20-B9FE-468D-88AF-B7A04C399636}" id="{AF389EF0-CF02-46EC-B1D5-0F9FD1457591}">
    <text>U-Wert vor der Regelung</text>
  </threadedComment>
  <threadedComment ref="C27" dT="2022-09-22T11:54:48.11" personId="{DA5A7C20-B9FE-468D-88AF-B7A04C399636}" id="{4BCD7D85-8C14-4802-885A-1482C6F2D4FA}">
    <text>zugehörige Blindleistungswerte werden aus Spalten E-J gesucht, in Abhängigkeit der Spannung vor der Regelung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microsoft.com/office/2017/10/relationships/threadedComment" Target="../threadedComments/threadedComment1.x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0000"/>
  </sheetPr>
  <dimension ref="A1:CG74"/>
  <sheetViews>
    <sheetView tabSelected="1" view="pageLayout" zoomScale="85" zoomScaleNormal="85" zoomScaleSheetLayoutView="55" zoomScalePageLayoutView="85" workbookViewId="0">
      <selection activeCell="BS1" sqref="BS1:CU1048576"/>
    </sheetView>
  </sheetViews>
  <sheetFormatPr baseColWidth="10" defaultColWidth="11.44140625" defaultRowHeight="20.95" customHeight="1"/>
  <cols>
    <col min="1" max="40" width="4.33203125" customWidth="1"/>
    <col min="41" max="41" width="3.44140625" customWidth="1"/>
    <col min="42" max="52" width="4.33203125" customWidth="1"/>
    <col min="53" max="53" width="6.44140625" style="36" hidden="1" customWidth="1"/>
    <col min="54" max="54" width="12.77734375" style="36" hidden="1" customWidth="1"/>
    <col min="55" max="55" width="9.33203125" style="36" hidden="1" customWidth="1"/>
    <col min="56" max="56" width="11.33203125" style="36" hidden="1" customWidth="1"/>
    <col min="57" max="57" width="8.77734375" style="36" hidden="1" customWidth="1"/>
    <col min="58" max="58" width="23.33203125" style="36" hidden="1" customWidth="1"/>
    <col min="59" max="59" width="14.6640625" style="36" hidden="1" customWidth="1"/>
    <col min="60" max="60" width="14" style="36" hidden="1" customWidth="1"/>
    <col min="61" max="61" width="7" style="36" hidden="1" customWidth="1"/>
    <col min="62" max="62" width="8.6640625" style="36" hidden="1" customWidth="1"/>
    <col min="63" max="63" width="36.6640625" style="36" hidden="1" customWidth="1"/>
    <col min="64" max="77" width="4.33203125" style="36" hidden="1" customWidth="1"/>
    <col min="78" max="78" width="5.6640625" style="36" hidden="1" customWidth="1"/>
    <col min="79" max="80" width="4.33203125" style="36" hidden="1" customWidth="1"/>
    <col min="81" max="85" width="4.33203125" hidden="1" customWidth="1"/>
    <col min="86" max="99" width="0" hidden="1" customWidth="1"/>
  </cols>
  <sheetData>
    <row r="1" spans="1:80" ht="20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5"/>
      <c r="BB1" s="35"/>
      <c r="BC1" s="35"/>
      <c r="BD1" s="35"/>
      <c r="BE1" s="35"/>
      <c r="BF1" s="35"/>
      <c r="BH1" s="36" t="s">
        <v>0</v>
      </c>
      <c r="BI1" s="36" t="s">
        <v>1</v>
      </c>
    </row>
    <row r="2" spans="1:80" ht="20.95" customHeight="1">
      <c r="A2" s="8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5"/>
      <c r="BB2" s="35"/>
      <c r="BC2" s="35"/>
      <c r="BD2" s="35"/>
      <c r="BE2" s="35"/>
      <c r="BF2" s="35"/>
      <c r="BH2" s="36" t="s">
        <v>3</v>
      </c>
      <c r="BI2" s="37">
        <v>45014.497916666667</v>
      </c>
    </row>
    <row r="3" spans="1:80" ht="20.95" customHeight="1">
      <c r="A3" s="30" t="s">
        <v>4</v>
      </c>
      <c r="B3" s="32"/>
      <c r="C3" s="32"/>
      <c r="D3" s="31"/>
      <c r="E3" s="74"/>
      <c r="F3" s="75"/>
      <c r="G3" s="75"/>
      <c r="H3" s="75"/>
      <c r="I3" s="75"/>
      <c r="J3" s="75"/>
      <c r="K3" s="75"/>
      <c r="L3" s="76"/>
      <c r="M3" s="30" t="s">
        <v>5</v>
      </c>
      <c r="N3" s="32"/>
      <c r="O3" s="32"/>
      <c r="P3" s="31"/>
      <c r="Q3" s="74"/>
      <c r="R3" s="75"/>
      <c r="S3" s="75"/>
      <c r="T3" s="75"/>
      <c r="U3" s="75"/>
      <c r="V3" s="75"/>
      <c r="W3" s="75"/>
      <c r="X3" s="76"/>
      <c r="Y3" s="30" t="s">
        <v>151</v>
      </c>
      <c r="Z3" s="32"/>
      <c r="AA3" s="32"/>
      <c r="AB3" s="31"/>
      <c r="AC3" s="74"/>
      <c r="AD3" s="75"/>
      <c r="AE3" s="75"/>
      <c r="AF3" s="75"/>
      <c r="AG3" s="75"/>
      <c r="AH3" s="75"/>
      <c r="AI3" s="75"/>
      <c r="AJ3" s="76"/>
      <c r="AK3" s="3"/>
      <c r="AL3" s="12"/>
      <c r="AM3" s="3"/>
      <c r="AN3" s="3"/>
      <c r="AO3" s="3"/>
      <c r="AQ3" s="12"/>
      <c r="AR3" s="3"/>
      <c r="AS3" s="3"/>
      <c r="AT3" s="3"/>
      <c r="AU3" s="12"/>
      <c r="AV3" s="3"/>
      <c r="AW3" s="3"/>
      <c r="AX3" s="3"/>
      <c r="AY3" s="3"/>
      <c r="AZ3" s="3"/>
      <c r="BA3" s="38"/>
      <c r="BB3" s="38"/>
      <c r="BC3" s="38"/>
      <c r="BD3" s="38"/>
      <c r="BE3" s="38"/>
      <c r="BF3" s="38"/>
      <c r="BH3" s="36" t="s">
        <v>6</v>
      </c>
      <c r="BI3" s="37">
        <v>45014.498194444444</v>
      </c>
    </row>
    <row r="4" spans="1:80" s="1" customFormat="1" ht="20.95" customHeight="1">
      <c r="A4" s="137" t="s">
        <v>7</v>
      </c>
      <c r="B4" s="138"/>
      <c r="C4" s="138"/>
      <c r="D4" s="139"/>
      <c r="E4" s="74"/>
      <c r="F4" s="75"/>
      <c r="G4" s="75"/>
      <c r="H4" s="75"/>
      <c r="I4" s="75"/>
      <c r="J4" s="75"/>
      <c r="K4" s="75"/>
      <c r="L4" s="76"/>
      <c r="M4" s="30" t="s">
        <v>8</v>
      </c>
      <c r="N4" s="32"/>
      <c r="O4" s="32"/>
      <c r="P4" s="31"/>
      <c r="Q4" s="129" t="s">
        <v>9</v>
      </c>
      <c r="R4" s="130"/>
      <c r="S4" s="130"/>
      <c r="T4" s="130"/>
      <c r="U4" s="130"/>
      <c r="V4" s="130"/>
      <c r="W4" s="130"/>
      <c r="X4" s="131"/>
      <c r="Y4" s="137" t="s">
        <v>152</v>
      </c>
      <c r="Z4" s="138"/>
      <c r="AA4" s="138"/>
      <c r="AB4" s="139"/>
      <c r="AC4" s="140"/>
      <c r="AD4" s="141"/>
      <c r="AE4" s="141"/>
      <c r="AF4" s="141"/>
      <c r="AG4" s="141"/>
      <c r="AH4" s="141"/>
      <c r="AI4" s="141"/>
      <c r="AJ4" s="142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8"/>
      <c r="BB4" s="72">
        <f>BI4</f>
        <v>2.7777777722803876E-4</v>
      </c>
      <c r="BC4" s="72"/>
      <c r="BD4" s="72"/>
      <c r="BE4" s="38"/>
      <c r="BF4" s="38"/>
      <c r="BG4" s="39"/>
      <c r="BH4" s="36" t="s">
        <v>11</v>
      </c>
      <c r="BI4" s="39">
        <f>BI3-BI2</f>
        <v>2.7777777722803876E-4</v>
      </c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</row>
    <row r="5" spans="1:80" s="1" customFormat="1" ht="20.95" customHeight="1">
      <c r="A5" s="137" t="s">
        <v>12</v>
      </c>
      <c r="B5" s="138"/>
      <c r="C5" s="138"/>
      <c r="D5" s="139"/>
      <c r="E5" s="74" t="s">
        <v>134</v>
      </c>
      <c r="F5" s="75"/>
      <c r="G5" s="75"/>
      <c r="H5" s="75"/>
      <c r="I5" s="75"/>
      <c r="J5" s="75"/>
      <c r="K5" s="75"/>
      <c r="L5" s="76"/>
      <c r="M5" s="137" t="s">
        <v>13</v>
      </c>
      <c r="N5" s="138"/>
      <c r="O5" s="138"/>
      <c r="P5" s="139"/>
      <c r="Q5" s="143">
        <v>0.88</v>
      </c>
      <c r="R5" s="144"/>
      <c r="S5" s="144"/>
      <c r="T5" s="144"/>
      <c r="U5" s="144"/>
      <c r="V5" s="144"/>
      <c r="W5" s="135" t="s">
        <v>14</v>
      </c>
      <c r="X5" s="136"/>
      <c r="Y5" s="137" t="s">
        <v>155</v>
      </c>
      <c r="Z5" s="138"/>
      <c r="AA5" s="138"/>
      <c r="AB5" s="139"/>
      <c r="AC5" s="188">
        <v>20</v>
      </c>
      <c r="AD5" s="189"/>
      <c r="AE5" s="189"/>
      <c r="AF5" s="189"/>
      <c r="AG5" s="189"/>
      <c r="AH5" s="189"/>
      <c r="AI5" s="189"/>
      <c r="AJ5" s="190"/>
      <c r="AK5" s="3"/>
      <c r="AN5" s="3"/>
      <c r="AO5" s="12"/>
      <c r="AP5" s="3"/>
      <c r="AQ5" s="3"/>
      <c r="AR5" s="3"/>
      <c r="AS5" s="3"/>
      <c r="AT5" s="3"/>
      <c r="AV5" s="3"/>
      <c r="AX5" s="3"/>
      <c r="AY5" s="3"/>
      <c r="AZ5" s="3"/>
      <c r="BA5" s="38"/>
      <c r="BB5" s="72"/>
      <c r="BC5" s="72"/>
      <c r="BD5" s="72"/>
      <c r="BE5" s="38"/>
      <c r="BF5" s="38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</row>
    <row r="6" spans="1:80" s="1" customFormat="1" ht="20.9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33" t="s">
        <v>149</v>
      </c>
      <c r="N6" s="133"/>
      <c r="O6" s="133"/>
      <c r="P6" s="133"/>
      <c r="Q6" s="143">
        <v>0.88</v>
      </c>
      <c r="R6" s="144"/>
      <c r="S6" s="144"/>
      <c r="T6" s="144"/>
      <c r="U6" s="144"/>
      <c r="V6" s="144"/>
      <c r="W6" s="164" t="s">
        <v>16</v>
      </c>
      <c r="X6" s="165"/>
      <c r="Y6" s="137" t="s">
        <v>15</v>
      </c>
      <c r="Z6" s="138"/>
      <c r="AA6" s="138"/>
      <c r="AB6" s="139"/>
      <c r="AC6" s="74">
        <v>21.8</v>
      </c>
      <c r="AD6" s="75"/>
      <c r="AE6" s="75"/>
      <c r="AF6" s="75"/>
      <c r="AG6" s="75"/>
      <c r="AH6" s="75"/>
      <c r="AI6" s="75"/>
      <c r="AJ6" s="76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W6" s="3"/>
      <c r="AX6" s="3"/>
      <c r="AY6" s="3"/>
      <c r="AZ6" s="3"/>
      <c r="BA6" s="38"/>
      <c r="BB6" s="38"/>
      <c r="BC6" s="38"/>
      <c r="BD6" s="38"/>
      <c r="BE6" s="38"/>
      <c r="BF6" s="38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</row>
    <row r="7" spans="1:80" s="1" customFormat="1" ht="20.9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8"/>
      <c r="BB7" s="40"/>
      <c r="BC7" s="38"/>
      <c r="BD7" s="38"/>
      <c r="BE7" s="38"/>
      <c r="BF7" s="38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</row>
    <row r="8" spans="1:80" ht="20.9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8"/>
      <c r="BB8" s="38"/>
      <c r="BC8" s="38"/>
      <c r="BD8" s="38"/>
      <c r="BE8" s="38"/>
      <c r="BF8" s="38"/>
    </row>
    <row r="9" spans="1:80" s="1" customFormat="1" ht="20.95" customHeight="1">
      <c r="A9" s="33" t="s">
        <v>17</v>
      </c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8"/>
      <c r="BB9" s="38"/>
      <c r="BC9" s="38"/>
      <c r="BD9" s="38"/>
      <c r="BE9" s="38"/>
      <c r="BF9" s="38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</row>
    <row r="10" spans="1:80" s="1" customFormat="1" ht="20.95" customHeight="1">
      <c r="A10" s="118" t="s">
        <v>18</v>
      </c>
      <c r="B10" s="119"/>
      <c r="C10" s="119"/>
      <c r="D10" s="120"/>
      <c r="E10" s="118" t="s">
        <v>19</v>
      </c>
      <c r="F10" s="119"/>
      <c r="G10" s="119"/>
      <c r="H10" s="120"/>
      <c r="I10" s="118" t="s">
        <v>20</v>
      </c>
      <c r="J10" s="119"/>
      <c r="K10" s="119"/>
      <c r="L10" s="119"/>
      <c r="M10" s="119"/>
      <c r="N10" s="119"/>
      <c r="O10" s="119"/>
      <c r="P10" s="120"/>
      <c r="Q10" s="118" t="s">
        <v>21</v>
      </c>
      <c r="R10" s="119"/>
      <c r="S10" s="119"/>
      <c r="T10" s="119"/>
      <c r="U10" s="119"/>
      <c r="V10" s="119"/>
      <c r="W10" s="119"/>
      <c r="X10" s="120"/>
      <c r="Y10" s="118" t="s">
        <v>22</v>
      </c>
      <c r="Z10" s="119"/>
      <c r="AA10" s="119"/>
      <c r="AB10" s="119"/>
      <c r="AC10" s="119"/>
      <c r="AD10" s="119"/>
      <c r="AE10" s="119"/>
      <c r="AF10" s="120"/>
      <c r="AG10" s="134" t="s">
        <v>23</v>
      </c>
      <c r="AH10" s="134"/>
      <c r="AI10" s="134"/>
      <c r="AJ10" s="134"/>
      <c r="AK10" s="134"/>
      <c r="AL10" s="134"/>
      <c r="AM10" s="134"/>
      <c r="AN10" s="134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8"/>
      <c r="BB10" s="167"/>
      <c r="BC10" s="167"/>
      <c r="BD10" s="167"/>
      <c r="BE10" s="38"/>
      <c r="BF10" s="38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</row>
    <row r="11" spans="1:80" s="1" customFormat="1" ht="20.95" customHeight="1" thickBot="1">
      <c r="A11" s="121"/>
      <c r="B11" s="122"/>
      <c r="C11" s="122"/>
      <c r="D11" s="123"/>
      <c r="E11" s="121"/>
      <c r="F11" s="122"/>
      <c r="G11" s="122"/>
      <c r="H11" s="123"/>
      <c r="I11" s="121"/>
      <c r="J11" s="122"/>
      <c r="K11" s="122"/>
      <c r="L11" s="122"/>
      <c r="M11" s="122"/>
      <c r="N11" s="122"/>
      <c r="O11" s="122"/>
      <c r="P11" s="123"/>
      <c r="Q11" s="121"/>
      <c r="R11" s="122"/>
      <c r="S11" s="122"/>
      <c r="T11" s="122"/>
      <c r="U11" s="122"/>
      <c r="V11" s="122"/>
      <c r="W11" s="122"/>
      <c r="X11" s="123"/>
      <c r="Y11" s="121"/>
      <c r="Z11" s="122"/>
      <c r="AA11" s="122"/>
      <c r="AB11" s="122"/>
      <c r="AC11" s="122"/>
      <c r="AD11" s="122"/>
      <c r="AE11" s="122"/>
      <c r="AF11" s="123"/>
      <c r="AG11" s="134"/>
      <c r="AH11" s="134"/>
      <c r="AI11" s="134"/>
      <c r="AJ11" s="134"/>
      <c r="AK11" s="134"/>
      <c r="AL11" s="134"/>
      <c r="AM11" s="134"/>
      <c r="AN11" s="134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8"/>
      <c r="BB11" s="167" t="s">
        <v>24</v>
      </c>
      <c r="BC11" s="167"/>
      <c r="BD11" s="167"/>
      <c r="BE11" s="38"/>
      <c r="BF11" s="38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</row>
    <row r="12" spans="1:80" s="1" customFormat="1" ht="20.95" customHeight="1" thickBot="1">
      <c r="A12" s="132" t="s">
        <v>25</v>
      </c>
      <c r="B12" s="132"/>
      <c r="C12" s="132"/>
      <c r="D12" s="132"/>
      <c r="E12" s="132" t="s">
        <v>26</v>
      </c>
      <c r="F12" s="132"/>
      <c r="G12" s="132"/>
      <c r="H12" s="132"/>
      <c r="I12" s="132" t="s">
        <v>27</v>
      </c>
      <c r="J12" s="132"/>
      <c r="K12" s="132"/>
      <c r="L12" s="132"/>
      <c r="M12" s="132" t="s">
        <v>28</v>
      </c>
      <c r="N12" s="132"/>
      <c r="O12" s="132"/>
      <c r="P12" s="132"/>
      <c r="Q12" s="132" t="s">
        <v>27</v>
      </c>
      <c r="R12" s="132"/>
      <c r="S12" s="132"/>
      <c r="T12" s="132"/>
      <c r="U12" s="132" t="s">
        <v>29</v>
      </c>
      <c r="V12" s="132"/>
      <c r="W12" s="132"/>
      <c r="X12" s="132"/>
      <c r="Y12" s="132" t="s">
        <v>30</v>
      </c>
      <c r="Z12" s="132"/>
      <c r="AA12" s="132"/>
      <c r="AB12" s="132"/>
      <c r="AC12" s="103" t="s">
        <v>31</v>
      </c>
      <c r="AD12" s="104"/>
      <c r="AE12" s="104"/>
      <c r="AF12" s="105"/>
      <c r="AG12" s="125"/>
      <c r="AH12" s="125"/>
      <c r="AI12" s="125"/>
      <c r="AJ12" s="125"/>
      <c r="AK12" s="125"/>
      <c r="AL12" s="125"/>
      <c r="AM12" s="125"/>
      <c r="AN12" s="125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8"/>
      <c r="BB12" s="38"/>
      <c r="BC12" s="41">
        <v>6.6E-3</v>
      </c>
      <c r="BD12" s="42">
        <v>3.3E-3</v>
      </c>
      <c r="BE12" s="38"/>
      <c r="BF12" s="43" t="s">
        <v>32</v>
      </c>
      <c r="BG12" s="44" t="s">
        <v>33</v>
      </c>
      <c r="BH12" s="44" t="s">
        <v>34</v>
      </c>
      <c r="BI12" s="45"/>
      <c r="BJ12" s="46" t="s">
        <v>35</v>
      </c>
      <c r="BK12" s="46" t="s">
        <v>36</v>
      </c>
      <c r="BL12" s="39" t="s">
        <v>37</v>
      </c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</row>
    <row r="13" spans="1:80" s="1" customFormat="1" ht="20.95" customHeight="1" thickBot="1">
      <c r="A13" s="154">
        <v>1</v>
      </c>
      <c r="B13" s="154"/>
      <c r="C13" s="155"/>
      <c r="D13" s="155"/>
      <c r="E13" s="106" t="s">
        <v>38</v>
      </c>
      <c r="F13" s="107"/>
      <c r="G13" s="107"/>
      <c r="H13" s="108"/>
      <c r="I13" s="151">
        <v>-0.65</v>
      </c>
      <c r="J13" s="152"/>
      <c r="K13" s="152"/>
      <c r="L13" s="153"/>
      <c r="M13" s="151">
        <v>0.7</v>
      </c>
      <c r="N13" s="152"/>
      <c r="O13" s="152"/>
      <c r="P13" s="153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74" t="str">
        <f>IF(OR(I13&gt;0,M13&lt;0),"Vorzeichenkonvention","")</f>
        <v/>
      </c>
      <c r="AH13" s="75"/>
      <c r="AI13" s="75"/>
      <c r="AJ13" s="75"/>
      <c r="AK13" s="75"/>
      <c r="AL13" s="75"/>
      <c r="AM13" s="75"/>
      <c r="AN13" s="76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8"/>
      <c r="BB13" s="38"/>
      <c r="BC13" s="47" t="s">
        <v>39</v>
      </c>
      <c r="BD13" s="48" t="s">
        <v>40</v>
      </c>
      <c r="BE13" s="38"/>
      <c r="BF13" s="28"/>
      <c r="BG13" s="11"/>
      <c r="BH13" s="11"/>
      <c r="BI13" s="49"/>
      <c r="BJ13" s="49"/>
      <c r="BK13" s="4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</row>
    <row r="14" spans="1:80" s="1" customFormat="1" ht="20.95" customHeight="1">
      <c r="A14" s="156">
        <v>0.6</v>
      </c>
      <c r="B14" s="156"/>
      <c r="C14" s="157"/>
      <c r="D14" s="157"/>
      <c r="E14" s="158">
        <f>-$Q$5*A14</f>
        <v>-0.52800000000000002</v>
      </c>
      <c r="F14" s="158"/>
      <c r="G14" s="158"/>
      <c r="H14" s="158"/>
      <c r="I14" s="151">
        <v>-0.69</v>
      </c>
      <c r="J14" s="152"/>
      <c r="K14" s="152"/>
      <c r="L14" s="153"/>
      <c r="M14" s="151">
        <v>0.64</v>
      </c>
      <c r="N14" s="152"/>
      <c r="O14" s="152"/>
      <c r="P14" s="153"/>
      <c r="Q14" s="83">
        <v>-0.5</v>
      </c>
      <c r="R14" s="84"/>
      <c r="S14" s="84"/>
      <c r="T14" s="85"/>
      <c r="U14" s="159">
        <f>Q14/-$Q$5</f>
        <v>0.56818181818181823</v>
      </c>
      <c r="V14" s="159"/>
      <c r="W14" s="159"/>
      <c r="X14" s="159"/>
      <c r="Y14" s="161">
        <f>IF(U14="","",A14-U14)</f>
        <v>3.1818181818181746E-2</v>
      </c>
      <c r="Z14" s="161"/>
      <c r="AA14" s="161"/>
      <c r="AB14" s="161"/>
      <c r="AC14" s="160" t="str">
        <f>IF(AND(I14&lt;0,M14&gt;0,U14&lt;0.65,Q14&lt;=0,I14&lt;&gt;"",M14&lt;&gt;"",Q14&lt;&gt;""),"erfolgreich","erfolglos")</f>
        <v>erfolgreich</v>
      </c>
      <c r="AD14" s="160"/>
      <c r="AE14" s="160"/>
      <c r="AF14" s="160"/>
      <c r="AG14" s="74" t="str">
        <f>IF(OR(I14&gt;0,Q14&gt;0),"Vorzeichenkonvention","")</f>
        <v/>
      </c>
      <c r="AH14" s="75"/>
      <c r="AI14" s="75"/>
      <c r="AJ14" s="75"/>
      <c r="AK14" s="75"/>
      <c r="AL14" s="75"/>
      <c r="AM14" s="75"/>
      <c r="AN14" s="76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8"/>
      <c r="BB14" s="50">
        <v>0.6</v>
      </c>
      <c r="BC14" s="51">
        <f>((ABS(I14)-ABS(E14))/(ABS(I14)*$BC$12))/86400</f>
        <v>4.117259552042159E-4</v>
      </c>
      <c r="BD14" s="52">
        <f>((ABS(I14)-ABS(E14))/(ABS(I14)*$BD$12))/86400</f>
        <v>8.234519104084318E-4</v>
      </c>
      <c r="BE14" s="38"/>
      <c r="BF14" s="28" t="str">
        <f>IF(ISBLANK(Y27),"-",IF(Y27&lt;=Diagram!$F$3+Protokoll!AC27/Protokoll!$B$27*0.6,"Untergrenze",IF(Y27&gt;=Diagram!$F$6+Protokoll!AC27/Protokoll!$B$27*0.6,"Obergrenze","-")))</f>
        <v>-</v>
      </c>
      <c r="BG14" s="11">
        <f>IF($AC$4="Typ B: Q/Pakt",ABS(Q27)*0.3287,$Q$5*0.3287)</f>
        <v>0.28925600000000001</v>
      </c>
      <c r="BH14" s="11">
        <f>IF($AC$4="Typ B: Q/Pakt",ABS(Q27)*-0.3287,$Q$5*-0.3287)</f>
        <v>-0.28925600000000001</v>
      </c>
      <c r="BI14" s="53">
        <f>MIN(IF(Y27&lt;Diagram!$F$4,MAX($B$28,$B$29+(Diagram!$F$4-Y27)/0.6*$B$28),$B$29),IF($AC$4="Typ B: Q/Pakt",-Q27*0.3287,$Q$5*0.3287))</f>
        <v>0.28925600000000001</v>
      </c>
      <c r="BJ14" s="53">
        <f>MAX(IF(Y27&gt;Diagram!$F$5,MIN($B$29,$B$28+(Y27-Diagram!$F$5)/0.6*$B$29),$B$28),IF($AC$4="Typ B: Q/Pakt",Q27*0.3287,$Q$5*0.3287))</f>
        <v>0.28925600000000001</v>
      </c>
      <c r="BK14" s="49">
        <f>IF($AC$4="Typ B: Q/Pakt",MAX(Q27*0.3287,B27),B27)</f>
        <v>-0.1452</v>
      </c>
      <c r="BL14" s="39" t="s">
        <v>41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</row>
    <row r="15" spans="1:80" s="1" customFormat="1" ht="20.95" customHeight="1">
      <c r="A15" s="154">
        <v>0.3</v>
      </c>
      <c r="B15" s="154"/>
      <c r="C15" s="155"/>
      <c r="D15" s="155"/>
      <c r="E15" s="162">
        <f>-$Q$5*A15</f>
        <v>-0.26400000000000001</v>
      </c>
      <c r="F15" s="162"/>
      <c r="G15" s="162"/>
      <c r="H15" s="162"/>
      <c r="I15" s="151">
        <v>-0.5</v>
      </c>
      <c r="J15" s="152"/>
      <c r="K15" s="152"/>
      <c r="L15" s="153"/>
      <c r="M15" s="151">
        <v>0.65</v>
      </c>
      <c r="N15" s="152"/>
      <c r="O15" s="152"/>
      <c r="P15" s="153"/>
      <c r="Q15" s="83">
        <v>-0.28999999999999998</v>
      </c>
      <c r="R15" s="84"/>
      <c r="S15" s="84"/>
      <c r="T15" s="85"/>
      <c r="U15" s="163">
        <f>Q15/-$Q$5</f>
        <v>0.32954545454545453</v>
      </c>
      <c r="V15" s="163"/>
      <c r="W15" s="163"/>
      <c r="X15" s="163"/>
      <c r="Y15" s="146">
        <f>IF(U15="","",A15-U15)</f>
        <v>-2.9545454545454541E-2</v>
      </c>
      <c r="Z15" s="146"/>
      <c r="AA15" s="146"/>
      <c r="AB15" s="146"/>
      <c r="AC15" s="150" t="str">
        <f>IF(AND(I15&lt;0,M15&gt;0,U15&lt;0.35,Q15&lt;=0,I15&lt;&gt;"",M15&lt;&gt;"",Q15&lt;&gt;""),"erfolgreich","erfolglos")</f>
        <v>erfolgreich</v>
      </c>
      <c r="AD15" s="150"/>
      <c r="AE15" s="150"/>
      <c r="AF15" s="150"/>
      <c r="AG15" s="74" t="str">
        <f>IF(OR(I15&gt;0,Q15&gt;0),"Vorzeichenkonvention","")</f>
        <v/>
      </c>
      <c r="AH15" s="75"/>
      <c r="AI15" s="75"/>
      <c r="AJ15" s="75"/>
      <c r="AK15" s="75"/>
      <c r="AL15" s="75"/>
      <c r="AM15" s="75"/>
      <c r="AN15" s="76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8"/>
      <c r="BB15" s="54">
        <v>0.3</v>
      </c>
      <c r="BC15" s="55">
        <f>((ABS(I15)-ABS(E15))/(ABS(I15)*$BC$12))/86400</f>
        <v>8.2772166105499439E-4</v>
      </c>
      <c r="BD15" s="56">
        <f>((ABS(I15)-ABS(E15))/(ABS(I15)*$BD$12))/86400</f>
        <v>1.6554433221099888E-3</v>
      </c>
      <c r="BE15" s="38"/>
      <c r="BF15" s="28" t="str">
        <f>IF(ISBLANK(Y28),"-",IF(Y28&lt;=Diagram!$F$3+Protokoll!AC28/Protokoll!$B$28*0.6,"Untergrenze",IF(Y28&gt;=Diagram!$F$6+Protokoll!AC28/Protokoll!$B$28*0.6,"Obergrenze","-")))</f>
        <v>-</v>
      </c>
      <c r="BG15" s="11">
        <f>IF($AC$4="Typ B: Q/Pakt",ABS(Q28)*0.3287,$Q$5*0.3287)</f>
        <v>0.28925600000000001</v>
      </c>
      <c r="BH15" s="11">
        <f>IF($AC$4="Typ B: Q/Pakt",ABS(Q28)*-0.3287,$Q$5*-0.3287)</f>
        <v>-0.28925600000000001</v>
      </c>
      <c r="BI15" s="53">
        <f>MIN(IF(Y28&lt;Diagram!$F$4,MAX($B$28,$B$29+(Diagram!$F$4-Y28)/0.6*$B$28),$B$29),IF($AC$4="Typ B: Q/Pakt",-Q28*0.3287,$Q$5*0.3287))</f>
        <v>0.28925600000000001</v>
      </c>
      <c r="BJ15" s="53">
        <f>MAX(IF(Y28&gt;Diagram!$F$5,MIN($B$29,$B$28+(Y28-Diagram!$F$5)/0.6*$B$29),$B$28),IF($AC$4="Typ B: Q/Pakt",Q28*0.3287,$Q$5*0.3287))</f>
        <v>0.28925600000000001</v>
      </c>
      <c r="BK15" s="49">
        <f>IF($AC$4="Typ B: Q/Pakt",MAX(Q28*0.3287,B28),B28)</f>
        <v>-0.29039999999999999</v>
      </c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</row>
    <row r="16" spans="1:80" s="1" customFormat="1" ht="20.95" customHeight="1">
      <c r="A16" s="156">
        <v>1</v>
      </c>
      <c r="B16" s="156"/>
      <c r="C16" s="157"/>
      <c r="D16" s="157"/>
      <c r="E16" s="176" t="s">
        <v>38</v>
      </c>
      <c r="F16" s="168"/>
      <c r="G16" s="168"/>
      <c r="H16" s="169"/>
      <c r="I16" s="151">
        <v>-0.28999999999999998</v>
      </c>
      <c r="J16" s="152"/>
      <c r="K16" s="152"/>
      <c r="L16" s="153"/>
      <c r="M16" s="151">
        <v>0.67</v>
      </c>
      <c r="N16" s="152"/>
      <c r="O16" s="152"/>
      <c r="P16" s="153"/>
      <c r="Q16" s="83">
        <v>-0.65</v>
      </c>
      <c r="R16" s="84"/>
      <c r="S16" s="84"/>
      <c r="T16" s="85"/>
      <c r="U16" s="159">
        <f>Q16/-$Q$5</f>
        <v>0.73863636363636365</v>
      </c>
      <c r="V16" s="159"/>
      <c r="W16" s="159"/>
      <c r="X16" s="159"/>
      <c r="Y16" s="145" t="s">
        <v>38</v>
      </c>
      <c r="Z16" s="145"/>
      <c r="AA16" s="145"/>
      <c r="AB16" s="145"/>
      <c r="AC16" s="147" t="str">
        <f>IF(AND(M16&gt;0,Q16&lt;=0,I16&lt;=0,ABS(Q16)&lt;(0.1*M16)+M16,ABS(Q16)&gt;M16-(0.1*M16)),"erfolgreich","erfolglos")</f>
        <v>erfolgreich</v>
      </c>
      <c r="AD16" s="148"/>
      <c r="AE16" s="148"/>
      <c r="AF16" s="149"/>
      <c r="AG16" s="74" t="str">
        <f>IF(OR(I16&gt;0,Q16&gt;0),"Vorzeichenkonvention","")</f>
        <v/>
      </c>
      <c r="AH16" s="75"/>
      <c r="AI16" s="75"/>
      <c r="AJ16" s="75"/>
      <c r="AK16" s="75"/>
      <c r="AL16" s="75"/>
      <c r="AM16" s="75"/>
      <c r="AN16" s="76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8"/>
      <c r="BB16" s="54">
        <v>1</v>
      </c>
      <c r="BC16" s="55">
        <f>((ABS(I13)-ABS(I16))/(ABS(I13)*$BC$12))/86400</f>
        <v>9.7125097125097125E-4</v>
      </c>
      <c r="BD16" s="56">
        <f>((ABS(I13)-ABS(I16))/(ABS(I13)*$BD$12))/86400</f>
        <v>1.9425019425019425E-3</v>
      </c>
      <c r="BE16" s="38"/>
      <c r="BF16" s="28" t="str">
        <f>IF(ISBLANK(Y29),"-",IF(Y29&lt;=Diagram!$F$3+Protokoll!AC29/Protokoll!$B$29*0.6,"Untergrenze",IF(Y29&gt;=Diagram!$F$6+Protokoll!AC29/Protokoll!$B$29*0.6,"Obergrenze","-")))</f>
        <v>Untergrenze</v>
      </c>
      <c r="BG16" s="11">
        <f>IF($AC$4="Typ B: Q/Pakt",ABS(Q29)*0.3287,$Q$5*0.3287)</f>
        <v>0.28925600000000001</v>
      </c>
      <c r="BH16" s="11">
        <f>IF($AC$4="Typ B: Q/Pakt",ABS(Q29)*-0.3287,$Q$5*-0.3287)</f>
        <v>-0.28925600000000001</v>
      </c>
      <c r="BI16" s="53">
        <f>MIN(IF(Y29&lt;Diagram!$F$4,MAX($B$28,$B$29+(Diagram!$F$4-Y29)/0.6*$B$28),$B$29),IF($AC$4="Typ B: Q/Pakt",-Q29*0.3287,$Q$5*0.3287))</f>
        <v>0.28925600000000001</v>
      </c>
      <c r="BJ16" s="53">
        <f>MAX(IF(Y29&gt;Diagram!$F$5,MIN($B$29,$B$28+(Y29-Diagram!$F$5)/0.6*$B$29),$B$28),IF($AC$4="Typ B: Q/Pakt",Q29*0.3287,$Q$5*0.3287))</f>
        <v>0.28925600000000001</v>
      </c>
      <c r="BK16" s="49">
        <f>IF($AC$4="Typ B: Q/Pakt",MIN(-Q29*0.3287,B29),B29)</f>
        <v>0.29039999999999999</v>
      </c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</row>
    <row r="17" spans="1:80" s="1" customFormat="1" ht="20.95" customHeight="1">
      <c r="A17" s="154">
        <v>0</v>
      </c>
      <c r="B17" s="154"/>
      <c r="C17" s="155"/>
      <c r="D17" s="155"/>
      <c r="E17" s="162">
        <f>-$Q$5*A17</f>
        <v>0</v>
      </c>
      <c r="F17" s="162"/>
      <c r="G17" s="162"/>
      <c r="H17" s="162"/>
      <c r="I17" s="151">
        <v>-0.65</v>
      </c>
      <c r="J17" s="152"/>
      <c r="K17" s="152"/>
      <c r="L17" s="153"/>
      <c r="M17" s="151">
        <v>0.7</v>
      </c>
      <c r="N17" s="152"/>
      <c r="O17" s="152"/>
      <c r="P17" s="153"/>
      <c r="Q17" s="83">
        <v>-1.1000000000000001E-3</v>
      </c>
      <c r="R17" s="84"/>
      <c r="S17" s="84"/>
      <c r="T17" s="85"/>
      <c r="U17" s="163">
        <f>Q17/-$Q$5</f>
        <v>1.25E-3</v>
      </c>
      <c r="V17" s="163"/>
      <c r="W17" s="163"/>
      <c r="X17" s="163"/>
      <c r="Y17" s="146">
        <f t="shared" ref="Y17" si="0">IF(U17="","",A17-U17)</f>
        <v>-1.25E-3</v>
      </c>
      <c r="Z17" s="146"/>
      <c r="AA17" s="146"/>
      <c r="AB17" s="146"/>
      <c r="AC17" s="150" t="str">
        <f>IF(AND(M17&gt;0,Q17&lt;=0.1,I17&lt;=0,ABS(U17)&lt;0.05,I17&lt;&gt;"",M17&lt;&gt;"",Q17&lt;&gt;""),"erfolgreich","erfolglos")</f>
        <v>erfolgreich</v>
      </c>
      <c r="AD17" s="150"/>
      <c r="AE17" s="150"/>
      <c r="AF17" s="150"/>
      <c r="AG17" s="74" t="str">
        <f>IF(I17&gt;0,"Vorzeichenkonvention",IF(AND(Q17&gt;0,AC17="erfolgreich"),"Eigenbedarf",""))</f>
        <v/>
      </c>
      <c r="AH17" s="75"/>
      <c r="AI17" s="75"/>
      <c r="AJ17" s="75"/>
      <c r="AK17" s="75"/>
      <c r="AL17" s="75"/>
      <c r="AM17" s="75"/>
      <c r="AN17" s="76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8"/>
      <c r="BB17" s="54">
        <v>0</v>
      </c>
      <c r="BC17" s="55">
        <f>((ABS(I17)/(ABS(I17)*$BC$12)))/86400</f>
        <v>1.7536475869809201E-3</v>
      </c>
      <c r="BD17" s="56">
        <f>((ABS(I17))/(ABS(I17)*$BD$12))/86400</f>
        <v>3.5072951739618403E-3</v>
      </c>
      <c r="BE17" s="38"/>
      <c r="BF17" s="28" t="str">
        <f>IF(ISBLANK(Y30),"-",IF(Y30&lt;=Diagram!$F$3+Protokoll!AC30/Protokoll!$B$29*0.6,"Untergrenze",IF(Y30&gt;=Diagram!$F$6+Protokoll!AC30/Protokoll!$B$29*0.6,"Obergrenze","-")))</f>
        <v>-</v>
      </c>
      <c r="BG17" s="11">
        <f>IF($AC$4="Typ B: Q/Pakt",ABS(Q30)*0.3287,$Q$5*0.3287)</f>
        <v>0.28925600000000001</v>
      </c>
      <c r="BH17" s="11">
        <f>IF($AC$4="Typ B: Q/Pakt",ABS(Q30)*-0.3287,$Q$5*-0.3287)</f>
        <v>-0.28925600000000001</v>
      </c>
      <c r="BI17" s="53">
        <f>MIN(IF(Y30&lt;Diagram!$F$4,MAX($B$28,$B$29+(Diagram!$F$4-Y30)/0.6*$B$28),$B$29),IF($AC$4="Typ B: Q/Pakt",-Q30*0.3287,$Q$5*0.3287))</f>
        <v>0.28925600000000001</v>
      </c>
      <c r="BJ17" s="53">
        <f>MAX(IF(Y30&gt;Diagram!$F$5,MIN($B$29,$B$28+(Y30-Diagram!$F$5)/0.6*$B$29),$B$28),IF($AC$4="Typ B: Q/Pakt",Q30*0.3287,$Q$5*0.3287))</f>
        <v>0.28925600000000001</v>
      </c>
      <c r="BK17" s="49">
        <f>IF($AC$4="Typ B: Q/Pakt",MIN(-Q30*0.3287,B30),B30)</f>
        <v>0.1452</v>
      </c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</row>
    <row r="18" spans="1:80" s="1" customFormat="1" ht="20.95" customHeight="1" thickBot="1">
      <c r="A18" s="156">
        <v>1</v>
      </c>
      <c r="B18" s="156"/>
      <c r="C18" s="157"/>
      <c r="D18" s="157"/>
      <c r="E18" s="158" t="s">
        <v>38</v>
      </c>
      <c r="F18" s="158"/>
      <c r="G18" s="158"/>
      <c r="H18" s="158"/>
      <c r="I18" s="151">
        <v>-1.1000000000000001E-3</v>
      </c>
      <c r="J18" s="152"/>
      <c r="K18" s="152"/>
      <c r="L18" s="153"/>
      <c r="M18" s="151">
        <v>0.66</v>
      </c>
      <c r="N18" s="152"/>
      <c r="O18" s="152"/>
      <c r="P18" s="153"/>
      <c r="Q18" s="83">
        <v>-0.63</v>
      </c>
      <c r="R18" s="84"/>
      <c r="S18" s="84"/>
      <c r="T18" s="85"/>
      <c r="U18" s="159">
        <f>Q18/-$Q$5</f>
        <v>0.71590909090909094</v>
      </c>
      <c r="V18" s="159"/>
      <c r="W18" s="159"/>
      <c r="X18" s="159"/>
      <c r="Y18" s="145" t="s">
        <v>38</v>
      </c>
      <c r="Z18" s="145"/>
      <c r="AA18" s="145"/>
      <c r="AB18" s="145"/>
      <c r="AC18" s="147" t="str">
        <f>IF(AND(M18&gt;0,Q18&lt;=0,I18&lt;=0.1,ABS(Q18)&lt;(0.1*M18)+M18,ABS(Q18)&gt;M18-(0.1*M18)),"erfolgreich","erfolglos")</f>
        <v>erfolgreich</v>
      </c>
      <c r="AD18" s="148"/>
      <c r="AE18" s="148"/>
      <c r="AF18" s="149"/>
      <c r="AG18" s="74" t="str">
        <f>IF(I17&gt;0,"Vorzeichenkonvention",IF(OR(I18&gt;0,Q18&gt;0),"Vorzeichenkonvention",""))</f>
        <v/>
      </c>
      <c r="AH18" s="75"/>
      <c r="AI18" s="75"/>
      <c r="AJ18" s="75"/>
      <c r="AK18" s="75"/>
      <c r="AL18" s="75"/>
      <c r="AM18" s="75"/>
      <c r="AN18" s="76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8"/>
      <c r="BB18" s="57">
        <v>1</v>
      </c>
      <c r="BC18" s="58">
        <f>((ABS(I13))/(ABS(I13)*$BC$12))/86400</f>
        <v>1.7536475869809201E-3</v>
      </c>
      <c r="BD18" s="59">
        <f>((ABS(I13))/(ABS(I13)*$BD$12))/86400</f>
        <v>3.5072951739618403E-3</v>
      </c>
      <c r="BE18" s="38"/>
      <c r="BF18" s="28" t="str">
        <f>IF(ISBLANK(Y31),"-",IF(Y31&lt;=Diagram!$F$3+Protokoll!AC31/Protokoll!$B$29*0.6,"Untergrenze",IF(Y31&gt;=Diagram!$F$6+Protokoll!AC31/Protokoll!$B$29*0.6,"Obergrenze","-")))</f>
        <v>-</v>
      </c>
      <c r="BG18" s="11">
        <f>IF($AC$4="Typ B: Q/Pakt",ABS(Q31)*0.3287,$Q$5*0.3287)</f>
        <v>0.28925600000000001</v>
      </c>
      <c r="BH18" s="11">
        <f>IF($AC$4="Typ B: Q/Pakt",ABS(Q31)*-0.3287,$Q$5*-0.3287)</f>
        <v>-0.28925600000000001</v>
      </c>
      <c r="BI18" s="53">
        <f>MIN(IF(Y31&lt;Diagram!$F$4,MAX($B$28,$B$29+(Diagram!$F$4-Y31)/0.6*$B$28),$B$29),IF($AC$4="Typ B: Q/Pakt",-Q31*0.3287,$Q$5*0.3287))</f>
        <v>0.28925600000000001</v>
      </c>
      <c r="BJ18" s="53">
        <f>MAX(IF(Y31&gt;Diagram!$F$5,MIN($B$29,$B$28+(Y31-Diagram!$F$5)/0.6*$B$29),$B$28),IF($AC$4="Typ B: Q/Pakt",Q31*0.3287,$Q$5*0.3287))</f>
        <v>0.28925600000000001</v>
      </c>
      <c r="BK18" s="49">
        <f>IF($AC$4="Typ B: Q/Pakt",MIN(-Q31*0.3287,B31),B31)</f>
        <v>0</v>
      </c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</row>
    <row r="19" spans="1:80" s="1" customFormat="1" ht="20.95" customHeight="1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8"/>
      <c r="Q19" s="115" t="s">
        <v>42</v>
      </c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7"/>
      <c r="AC19" s="124" t="str">
        <f>IF(AC14&amp;AC15&amp;AC17&amp;AC16&amp;AC18 ="erfolgreicherfolgreicherfolgreicherfolgreicherfolgreich","erfolgreich","erfolglos")</f>
        <v>erfolgreich</v>
      </c>
      <c r="AD19" s="124"/>
      <c r="AE19" s="124"/>
      <c r="AF19" s="124"/>
      <c r="AG19" s="125"/>
      <c r="AH19" s="125"/>
      <c r="AI19" s="125"/>
      <c r="AJ19" s="125"/>
      <c r="AK19" s="125"/>
      <c r="AL19" s="125"/>
      <c r="AM19" s="125"/>
      <c r="AN19" s="125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8"/>
      <c r="BB19" s="166" t="s">
        <v>43</v>
      </c>
      <c r="BC19" s="166"/>
      <c r="BD19" s="166"/>
      <c r="BE19" s="38"/>
      <c r="BF19" s="38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</row>
    <row r="20" spans="1:80" ht="20.95" customHeight="1">
      <c r="A20" s="3" t="s">
        <v>153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5"/>
      <c r="BB20" s="35"/>
      <c r="BC20" s="35"/>
      <c r="BD20" s="35"/>
      <c r="BE20" s="35"/>
      <c r="BF20" s="35"/>
    </row>
    <row r="21" spans="1:80" ht="20.95" customHeight="1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5"/>
      <c r="BB21" s="35"/>
      <c r="BC21" s="35"/>
      <c r="BD21" s="35"/>
      <c r="BE21" s="35"/>
      <c r="BF21" s="35"/>
    </row>
    <row r="22" spans="1:80" ht="20.95" customHeight="1">
      <c r="A22" s="33" t="s">
        <v>150</v>
      </c>
      <c r="B22" s="4"/>
      <c r="C22" s="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5"/>
      <c r="BB22" s="35"/>
      <c r="BC22" s="35"/>
      <c r="BD22" s="35"/>
      <c r="BE22" s="35"/>
      <c r="BF22" s="35"/>
      <c r="BM22" s="49"/>
      <c r="BN22" s="49"/>
      <c r="BO22" s="49"/>
      <c r="BP22" s="49"/>
      <c r="BQ22" s="49"/>
      <c r="BR22" s="49"/>
      <c r="BS22" s="49"/>
      <c r="BT22" s="49"/>
      <c r="BU22" s="49"/>
      <c r="BV22" s="49"/>
    </row>
    <row r="23" spans="1:80" ht="20.95" customHeight="1">
      <c r="A23" s="118" t="s">
        <v>18</v>
      </c>
      <c r="B23" s="119"/>
      <c r="C23" s="119"/>
      <c r="D23" s="120"/>
      <c r="E23" s="118" t="s">
        <v>20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20"/>
      <c r="Q23" s="118" t="s">
        <v>44</v>
      </c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20"/>
      <c r="AK23" s="118" t="s">
        <v>45</v>
      </c>
      <c r="AL23" s="119"/>
      <c r="AM23" s="119"/>
      <c r="AN23" s="119"/>
      <c r="AO23" s="119"/>
      <c r="AP23" s="119"/>
      <c r="AQ23" s="119"/>
      <c r="AR23" s="120"/>
      <c r="AS23" s="118" t="s">
        <v>23</v>
      </c>
      <c r="AT23" s="119"/>
      <c r="AU23" s="119"/>
      <c r="AV23" s="119"/>
      <c r="AW23" s="119"/>
      <c r="AX23" s="119"/>
      <c r="AY23" s="119"/>
      <c r="AZ23" s="120"/>
      <c r="BA23" s="38"/>
      <c r="BB23" s="60"/>
      <c r="BC23" s="35"/>
      <c r="BD23" s="35"/>
      <c r="BE23" s="35"/>
      <c r="BF23" s="35"/>
      <c r="BG23" s="36">
        <f>ABS(B27-U27)/BF27</f>
        <v>-1.7906336088154211E-2</v>
      </c>
    </row>
    <row r="24" spans="1:80" ht="20.95" customHeight="1">
      <c r="A24" s="121"/>
      <c r="B24" s="122"/>
      <c r="C24" s="122"/>
      <c r="D24" s="123"/>
      <c r="E24" s="121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3"/>
      <c r="Q24" s="121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3"/>
      <c r="AK24" s="121"/>
      <c r="AL24" s="122"/>
      <c r="AM24" s="122"/>
      <c r="AN24" s="122"/>
      <c r="AO24" s="122"/>
      <c r="AP24" s="122"/>
      <c r="AQ24" s="122"/>
      <c r="AR24" s="123"/>
      <c r="AS24" s="121"/>
      <c r="AT24" s="122"/>
      <c r="AU24" s="122"/>
      <c r="AV24" s="122"/>
      <c r="AW24" s="122"/>
      <c r="AX24" s="122"/>
      <c r="AY24" s="122"/>
      <c r="AZ24" s="123"/>
      <c r="BA24" s="38"/>
      <c r="BB24" s="35"/>
      <c r="BC24" s="61"/>
      <c r="BD24" s="35"/>
      <c r="BE24" s="35"/>
      <c r="BF24" s="35"/>
    </row>
    <row r="25" spans="1:80" ht="20.95" customHeight="1">
      <c r="A25" s="109" t="s">
        <v>46</v>
      </c>
      <c r="B25" s="110"/>
      <c r="C25" s="110"/>
      <c r="D25" s="111"/>
      <c r="E25" s="109" t="s">
        <v>47</v>
      </c>
      <c r="F25" s="110"/>
      <c r="G25" s="110"/>
      <c r="H25" s="111"/>
      <c r="I25" s="109" t="s">
        <v>48</v>
      </c>
      <c r="J25" s="110"/>
      <c r="K25" s="110"/>
      <c r="L25" s="111"/>
      <c r="M25" s="109" t="s">
        <v>49</v>
      </c>
      <c r="N25" s="110"/>
      <c r="O25" s="110"/>
      <c r="P25" s="111"/>
      <c r="Q25" s="109" t="s">
        <v>47</v>
      </c>
      <c r="R25" s="110"/>
      <c r="S25" s="110"/>
      <c r="T25" s="111"/>
      <c r="U25" s="109" t="s">
        <v>48</v>
      </c>
      <c r="V25" s="110"/>
      <c r="W25" s="110"/>
      <c r="X25" s="111"/>
      <c r="Y25" s="109" t="s">
        <v>49</v>
      </c>
      <c r="Z25" s="110"/>
      <c r="AA25" s="110"/>
      <c r="AB25" s="111"/>
      <c r="AC25" s="103" t="s">
        <v>50</v>
      </c>
      <c r="AD25" s="104"/>
      <c r="AE25" s="104"/>
      <c r="AF25" s="105"/>
      <c r="AG25" s="109" t="s">
        <v>51</v>
      </c>
      <c r="AH25" s="110"/>
      <c r="AI25" s="110"/>
      <c r="AJ25" s="111"/>
      <c r="AK25" s="103" t="s">
        <v>52</v>
      </c>
      <c r="AL25" s="104"/>
      <c r="AM25" s="104"/>
      <c r="AN25" s="105"/>
      <c r="AO25" s="103" t="s">
        <v>53</v>
      </c>
      <c r="AP25" s="104"/>
      <c r="AQ25" s="104"/>
      <c r="AR25" s="105"/>
      <c r="AS25" s="106" t="s">
        <v>38</v>
      </c>
      <c r="AT25" s="107"/>
      <c r="AU25" s="107"/>
      <c r="AV25" s="107"/>
      <c r="AW25" s="107"/>
      <c r="AX25" s="107"/>
      <c r="AY25" s="107"/>
      <c r="AZ25" s="108"/>
      <c r="BA25" s="38"/>
      <c r="BB25" s="60"/>
      <c r="BC25" s="35"/>
      <c r="BD25" s="35"/>
      <c r="BE25" s="35"/>
      <c r="BF25" s="62" t="s">
        <v>54</v>
      </c>
      <c r="BG25" s="63" t="s">
        <v>55</v>
      </c>
      <c r="BH25" s="63" t="s">
        <v>56</v>
      </c>
      <c r="BI25" s="63"/>
      <c r="BM25" s="49"/>
      <c r="BN25" s="49"/>
    </row>
    <row r="26" spans="1:80" s="6" customFormat="1" ht="20.95" customHeight="1" thickBot="1">
      <c r="A26" s="9"/>
      <c r="B26" s="81">
        <v>0</v>
      </c>
      <c r="C26" s="81"/>
      <c r="D26" s="82"/>
      <c r="E26" s="83">
        <v>-0.63</v>
      </c>
      <c r="F26" s="84"/>
      <c r="G26" s="84"/>
      <c r="H26" s="85"/>
      <c r="I26" s="173">
        <v>0</v>
      </c>
      <c r="J26" s="174"/>
      <c r="K26" s="174"/>
      <c r="L26" s="175"/>
      <c r="M26" s="83">
        <v>20.3</v>
      </c>
      <c r="N26" s="84"/>
      <c r="O26" s="84"/>
      <c r="P26" s="85"/>
      <c r="Q26" s="106"/>
      <c r="R26" s="107"/>
      <c r="S26" s="107"/>
      <c r="T26" s="108"/>
      <c r="U26" s="106"/>
      <c r="V26" s="107"/>
      <c r="W26" s="107"/>
      <c r="X26" s="108"/>
      <c r="Y26" s="106"/>
      <c r="Z26" s="107"/>
      <c r="AA26" s="107"/>
      <c r="AB26" s="108"/>
      <c r="AC26" s="170"/>
      <c r="AD26" s="171"/>
      <c r="AE26" s="171"/>
      <c r="AF26" s="172"/>
      <c r="AG26" s="89" t="s">
        <v>38</v>
      </c>
      <c r="AH26" s="90"/>
      <c r="AI26" s="90"/>
      <c r="AJ26" s="91"/>
      <c r="AK26" s="106"/>
      <c r="AL26" s="107"/>
      <c r="AM26" s="107"/>
      <c r="AN26" s="108"/>
      <c r="AO26" s="106"/>
      <c r="AP26" s="107"/>
      <c r="AQ26" s="107"/>
      <c r="AR26" s="108"/>
      <c r="AS26" s="74" t="str">
        <f>IF(OR(E26&gt;0,M26&lt;0),"Vorzeichenkonvention","")</f>
        <v/>
      </c>
      <c r="AT26" s="75"/>
      <c r="AU26" s="75"/>
      <c r="AV26" s="75"/>
      <c r="AW26" s="75"/>
      <c r="AX26" s="75"/>
      <c r="AY26" s="75"/>
      <c r="AZ26" s="76"/>
      <c r="BA26" s="38"/>
      <c r="BB26" s="64"/>
      <c r="BC26" s="60"/>
      <c r="BD26" s="60"/>
      <c r="BE26" s="60"/>
      <c r="BF26" s="60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</row>
    <row r="27" spans="1:80" s="6" customFormat="1" ht="20.95" customHeight="1">
      <c r="A27" s="29" t="s">
        <v>57</v>
      </c>
      <c r="B27" s="168">
        <f>IF($AC$4="Typ B: Q/Pakt",(-0.33/2*$Q$5)*(ABS(E27)/$Q$5),-0.33/2*$Q$5)</f>
        <v>-0.1452</v>
      </c>
      <c r="C27" s="168"/>
      <c r="D27" s="169"/>
      <c r="E27" s="83">
        <v>-0.66</v>
      </c>
      <c r="F27" s="84"/>
      <c r="G27" s="84"/>
      <c r="H27" s="85"/>
      <c r="I27" s="173">
        <v>0</v>
      </c>
      <c r="J27" s="174"/>
      <c r="K27" s="174"/>
      <c r="L27" s="175"/>
      <c r="M27" s="83">
        <v>20.3</v>
      </c>
      <c r="N27" s="84"/>
      <c r="O27" s="84"/>
      <c r="P27" s="85"/>
      <c r="Q27" s="83">
        <v>-0.66</v>
      </c>
      <c r="R27" s="84"/>
      <c r="S27" s="84"/>
      <c r="T27" s="85"/>
      <c r="U27" s="86">
        <v>-0.14000000000000001</v>
      </c>
      <c r="V27" s="87"/>
      <c r="W27" s="87"/>
      <c r="X27" s="88"/>
      <c r="Y27" s="83">
        <v>20.399999999999999</v>
      </c>
      <c r="Z27" s="84"/>
      <c r="AA27" s="84"/>
      <c r="AB27" s="85"/>
      <c r="AC27" s="80">
        <f>IF(Y27&gt;Wertetabelle!$B$11,
              IF(B27&gt;BF27,B27,Protokoll!BF27),
                   IF(AND(Y27&lt;=Wertetabelle!$B$11,Y27&gt;=Wertetabelle!$B$7),
                                   Protokoll!B27,
                                           IF(B27&gt;BF27,BF27,B27)))</f>
        <v>-0.1452</v>
      </c>
      <c r="AD27" s="81"/>
      <c r="AE27" s="81"/>
      <c r="AF27" s="82"/>
      <c r="AG27" s="86" t="s">
        <v>38</v>
      </c>
      <c r="AH27" s="87"/>
      <c r="AI27" s="87"/>
      <c r="AJ27" s="88"/>
      <c r="AK27" s="126">
        <f>ABS(U27-AC27)/ABS(Q5)</f>
        <v>5.909090909090889E-3</v>
      </c>
      <c r="AL27" s="126"/>
      <c r="AM27" s="126"/>
      <c r="AN27" s="126"/>
      <c r="AO27" s="77" t="str">
        <f>IF(OR(AG27="Untergrenze",Q27&gt;=0,E27&gt;=0,BE27=FALSE,Q6=""),"erfolglos","erfolgreich")</f>
        <v>erfolgreich</v>
      </c>
      <c r="AP27" s="78"/>
      <c r="AQ27" s="78"/>
      <c r="AR27" s="79"/>
      <c r="AS27" s="74" t="str">
        <f>IF(OR(E27&gt;0,M27&lt;0,Q27&gt;0,Y27&lt;0),"Vorzeichenkonvention","")</f>
        <v/>
      </c>
      <c r="AT27" s="75"/>
      <c r="AU27" s="75"/>
      <c r="AV27" s="75"/>
      <c r="AW27" s="75"/>
      <c r="AX27" s="75"/>
      <c r="AY27" s="75"/>
      <c r="AZ27" s="76"/>
      <c r="BA27" s="38"/>
      <c r="BB27" s="60"/>
      <c r="BC27" s="64"/>
      <c r="BD27" s="60"/>
      <c r="BE27" s="65" t="b">
        <f>IF(ABS($Q$6)&gt;=0.3,AK27&lt;=0.02,AK27&lt;=0.04)</f>
        <v>1</v>
      </c>
      <c r="BF27" s="34">
        <f>Wertetabelle!D20</f>
        <v>-0.29039999999999999</v>
      </c>
      <c r="BG27" s="66">
        <f>IF(BF27&lt;=AC27,AC27,$BF$27)</f>
        <v>-0.1452</v>
      </c>
      <c r="BH27" s="66">
        <f t="shared" ref="BH27:BH29" si="1">BG27</f>
        <v>-0.1452</v>
      </c>
      <c r="BI27" s="49"/>
      <c r="BJ27" s="63"/>
      <c r="BK27" s="49" t="s">
        <v>58</v>
      </c>
      <c r="BL27" s="53">
        <f>Wertetabelle!C27</f>
        <v>-0.29039999999999999</v>
      </c>
      <c r="BM27" s="49"/>
      <c r="BN27" s="97">
        <f>IF(U27="","",ABS((U27-AC27)/B27))</f>
        <v>3.5812672176308423E-2</v>
      </c>
      <c r="BO27" s="98"/>
      <c r="BP27" s="98"/>
      <c r="BQ27" s="9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</row>
    <row r="28" spans="1:80" s="6" customFormat="1" ht="20.95" customHeight="1">
      <c r="A28" s="9" t="s">
        <v>57</v>
      </c>
      <c r="B28" s="81">
        <f>IF($AC$4="Typ B: Q/Pakt",(-0.33*$Q$5)*(ABS(E28)/$Q$5),-0.33*$Q$5)</f>
        <v>-0.29039999999999999</v>
      </c>
      <c r="C28" s="81"/>
      <c r="D28" s="82"/>
      <c r="E28" s="83">
        <v>-0.66</v>
      </c>
      <c r="F28" s="84"/>
      <c r="G28" s="84"/>
      <c r="H28" s="85"/>
      <c r="I28" s="89">
        <v>-0.1</v>
      </c>
      <c r="J28" s="90"/>
      <c r="K28" s="90"/>
      <c r="L28" s="91"/>
      <c r="M28" s="83">
        <v>20.399999999999999</v>
      </c>
      <c r="N28" s="84"/>
      <c r="O28" s="84"/>
      <c r="P28" s="85"/>
      <c r="Q28" s="83">
        <v>-0.66</v>
      </c>
      <c r="R28" s="84"/>
      <c r="S28" s="84"/>
      <c r="T28" s="85"/>
      <c r="U28" s="89">
        <v>-0.25</v>
      </c>
      <c r="V28" s="90"/>
      <c r="W28" s="90"/>
      <c r="X28" s="91"/>
      <c r="Y28" s="83">
        <v>20.6</v>
      </c>
      <c r="Z28" s="84"/>
      <c r="AA28" s="84"/>
      <c r="AB28" s="85"/>
      <c r="AC28" s="80">
        <f>IF(Y28&gt;Wertetabelle!$B$11,
              IF(B28&gt;BF28,B28,Protokoll!BF28),
                   IF(AND(Y28&lt;=Wertetabelle!$B$11,Y28&gt;=Wertetabelle!$B$7),
                                   Protokoll!B28,
                                           IF(B28&gt;BF28,BF28,B28)))</f>
        <v>-0.1935999999999993</v>
      </c>
      <c r="AD28" s="81"/>
      <c r="AE28" s="81"/>
      <c r="AF28" s="82"/>
      <c r="AG28" s="89" t="s">
        <v>137</v>
      </c>
      <c r="AH28" s="90"/>
      <c r="AI28" s="90"/>
      <c r="AJ28" s="91"/>
      <c r="AK28" s="178">
        <f>ABS(U28-AC28)/ABS(Q5)</f>
        <v>6.4090909090909892E-2</v>
      </c>
      <c r="AL28" s="179"/>
      <c r="AM28" s="179"/>
      <c r="AN28" s="180"/>
      <c r="AO28" s="77" t="str">
        <f>IF(OR(AG28="Untergrenze",Q28&gt;=0,E28&gt;=0,BE28=FALSE,Q6=""),"erfolglos","erfolgreich")</f>
        <v>erfolglos</v>
      </c>
      <c r="AP28" s="78"/>
      <c r="AQ28" s="78"/>
      <c r="AR28" s="79"/>
      <c r="AS28" s="74" t="str">
        <f>IF(OR(E28&gt;0,M28&lt;0,Q28&gt;0,Y28&lt;0),"Vorzeichenkonvention","")</f>
        <v/>
      </c>
      <c r="AT28" s="75"/>
      <c r="AU28" s="75"/>
      <c r="AV28" s="75"/>
      <c r="AW28" s="75"/>
      <c r="AX28" s="75"/>
      <c r="AY28" s="75"/>
      <c r="AZ28" s="76"/>
      <c r="BA28" s="38"/>
      <c r="BB28" s="60"/>
      <c r="BC28" s="60"/>
      <c r="BD28" s="60"/>
      <c r="BE28" s="67" t="b">
        <f>IF(ABS($Q$6)&gt;=0.3,AK28&lt;=0.02,AK28&lt;=0.04)</f>
        <v>0</v>
      </c>
      <c r="BF28" s="34">
        <f>Wertetabelle!D21</f>
        <v>-0.1935999999999993</v>
      </c>
      <c r="BG28" s="66">
        <f>IF(BF28&lt;=AC28,AC28,$BF$28)</f>
        <v>-0.1935999999999993</v>
      </c>
      <c r="BH28" s="66">
        <f t="shared" si="1"/>
        <v>-0.1935999999999993</v>
      </c>
      <c r="BI28" s="49"/>
      <c r="BJ28" s="63"/>
      <c r="BK28" s="49" t="s">
        <v>59</v>
      </c>
      <c r="BL28" s="53">
        <f>Wertetabelle!C28</f>
        <v>-0.29039999999999999</v>
      </c>
      <c r="BM28" s="49"/>
      <c r="BN28" s="94">
        <f>IF(U28="","",ABS((U28-AC28)/B28))</f>
        <v>0.19421487603306026</v>
      </c>
      <c r="BO28" s="95"/>
      <c r="BP28" s="95"/>
      <c r="BQ28" s="96"/>
      <c r="BR28" s="49"/>
      <c r="BS28" s="36"/>
      <c r="BT28" s="49"/>
      <c r="BU28" s="49"/>
      <c r="BV28" s="49"/>
      <c r="BW28" s="49"/>
      <c r="BX28" s="49"/>
      <c r="BY28" s="49"/>
      <c r="BZ28" s="49"/>
      <c r="CA28" s="49"/>
      <c r="CB28" s="49"/>
    </row>
    <row r="29" spans="1:80" s="6" customFormat="1" ht="20.95" customHeight="1">
      <c r="A29" s="29" t="s">
        <v>60</v>
      </c>
      <c r="B29" s="168">
        <f>IF($AC$4="Typ B: Q/Pakt",(-0.33*$Q$5)*(ABS(E29)/$Q$5),0.33*$Q$5)</f>
        <v>0.29039999999999999</v>
      </c>
      <c r="C29" s="168"/>
      <c r="D29" s="169"/>
      <c r="E29" s="83">
        <v>-0.66</v>
      </c>
      <c r="F29" s="84"/>
      <c r="G29" s="84"/>
      <c r="H29" s="85"/>
      <c r="I29" s="86">
        <v>-0.26</v>
      </c>
      <c r="J29" s="87"/>
      <c r="K29" s="87"/>
      <c r="L29" s="88"/>
      <c r="M29" s="83">
        <v>20.5</v>
      </c>
      <c r="N29" s="84"/>
      <c r="O29" s="84"/>
      <c r="P29" s="85"/>
      <c r="Q29" s="83">
        <v>-0.66</v>
      </c>
      <c r="R29" s="84"/>
      <c r="S29" s="84"/>
      <c r="T29" s="85"/>
      <c r="U29" s="86">
        <v>0.28999999999999998</v>
      </c>
      <c r="V29" s="87"/>
      <c r="W29" s="87"/>
      <c r="X29" s="88"/>
      <c r="Y29" s="83">
        <v>20.2</v>
      </c>
      <c r="Z29" s="84"/>
      <c r="AA29" s="84"/>
      <c r="AB29" s="85"/>
      <c r="AC29" s="80">
        <f>IF(Y29&gt;Wertetabelle!$B$9,
              IF(B29&gt;BF29,B29,Protokoll!BF29),
                   IF(AND(Y29&lt;=Wertetabelle!$B$9,Y29&gt;=Wertetabelle!$B$8),
                                   Protokoll!B29,
                                           IF(B29&gt;BF29,BF29,B29)))</f>
        <v>0.29039999999999999</v>
      </c>
      <c r="AD29" s="81"/>
      <c r="AE29" s="81"/>
      <c r="AF29" s="82"/>
      <c r="AG29" s="86" t="s">
        <v>38</v>
      </c>
      <c r="AH29" s="87"/>
      <c r="AI29" s="87"/>
      <c r="AJ29" s="88"/>
      <c r="AK29" s="126">
        <f>ABS(U29-AC29)/ABS(Q5)</f>
        <v>4.5454545454546756E-4</v>
      </c>
      <c r="AL29" s="126"/>
      <c r="AM29" s="126"/>
      <c r="AN29" s="126"/>
      <c r="AO29" s="77" t="str">
        <f>IF(OR(AG29="Obergrenze",Q29&gt;=0,E29&gt;=0,BE29=FALSE,Q6=""),"erfolglos","erfolgreich")</f>
        <v>erfolgreich</v>
      </c>
      <c r="AP29" s="78"/>
      <c r="AQ29" s="78"/>
      <c r="AR29" s="79"/>
      <c r="AS29" s="74" t="str">
        <f>IF(OR(E29&gt;0,M29&lt;0,Q29&gt;0,Y29&lt;0),"Vorzeichenkonvention","")</f>
        <v/>
      </c>
      <c r="AT29" s="75"/>
      <c r="AU29" s="75"/>
      <c r="AV29" s="75"/>
      <c r="AW29" s="75"/>
      <c r="AX29" s="75"/>
      <c r="AY29" s="75"/>
      <c r="AZ29" s="76"/>
      <c r="BA29" s="38"/>
      <c r="BB29" s="60"/>
      <c r="BC29" s="68"/>
      <c r="BD29" s="68"/>
      <c r="BE29" s="67" t="b">
        <f>IF(ABS($Q$6)&gt;=0.3,AK29&lt;=0.02,AK29&lt;=0.04)</f>
        <v>1</v>
      </c>
      <c r="BF29" s="34">
        <f>Wertetabelle!D22</f>
        <v>0.29039999999999894</v>
      </c>
      <c r="BG29" s="63">
        <f>IF(BF29&gt;=AC29,AC29,$BF$29)</f>
        <v>0.29039999999999894</v>
      </c>
      <c r="BH29" s="66">
        <f t="shared" si="1"/>
        <v>0.29039999999999894</v>
      </c>
      <c r="BI29" s="49"/>
      <c r="BJ29" s="63"/>
      <c r="BK29" s="49" t="s">
        <v>61</v>
      </c>
      <c r="BL29" s="53">
        <f>Wertetabelle!C29</f>
        <v>0.29039999999999999</v>
      </c>
      <c r="BM29" s="49"/>
      <c r="BN29" s="97">
        <f>IF(U29="","",ABS((U29-AC29)/B29))</f>
        <v>1.3774104683195987E-3</v>
      </c>
      <c r="BO29" s="98"/>
      <c r="BP29" s="98"/>
      <c r="BQ29" s="9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</row>
    <row r="30" spans="1:80" s="6" customFormat="1" ht="20.95" customHeight="1" thickBot="1">
      <c r="A30" s="9" t="s">
        <v>60</v>
      </c>
      <c r="B30" s="81">
        <f>IF($AC$4="Typ B: Q/Pakt",(-0.33/2*$Q$5)*(ABS(E30)/$Q$5),0.33/2*$Q$5)</f>
        <v>0.1452</v>
      </c>
      <c r="C30" s="81"/>
      <c r="D30" s="82"/>
      <c r="E30" s="83">
        <v>-0.66</v>
      </c>
      <c r="F30" s="84"/>
      <c r="G30" s="84"/>
      <c r="H30" s="85"/>
      <c r="I30" s="89">
        <v>0.28999999999999998</v>
      </c>
      <c r="J30" s="90"/>
      <c r="K30" s="90"/>
      <c r="L30" s="91"/>
      <c r="M30" s="83">
        <v>20.2</v>
      </c>
      <c r="N30" s="84"/>
      <c r="O30" s="84"/>
      <c r="P30" s="85"/>
      <c r="Q30" s="83">
        <v>-0.67</v>
      </c>
      <c r="R30" s="84"/>
      <c r="S30" s="84"/>
      <c r="T30" s="85"/>
      <c r="U30" s="89">
        <v>0.15</v>
      </c>
      <c r="V30" s="90"/>
      <c r="W30" s="90"/>
      <c r="X30" s="91"/>
      <c r="Y30" s="83">
        <v>20.3</v>
      </c>
      <c r="Z30" s="84"/>
      <c r="AA30" s="84"/>
      <c r="AB30" s="85"/>
      <c r="AC30" s="80">
        <f>IF(Y30&gt;Wertetabelle!$B$9,
              IF(B30&gt;BF30,B30,Protokoll!BF30),
                   IF(AND(Y30&lt;=Wertetabelle!$B$9,Y30&gt;=Wertetabelle!$B$8),
                                   Protokoll!B30,
                                           IF(B30&gt;BF30,BF30,B30)))</f>
        <v>0.1452</v>
      </c>
      <c r="AD30" s="81"/>
      <c r="AE30" s="81"/>
      <c r="AF30" s="82"/>
      <c r="AG30" s="89" t="s">
        <v>38</v>
      </c>
      <c r="AH30" s="90"/>
      <c r="AI30" s="90"/>
      <c r="AJ30" s="91"/>
      <c r="AK30" s="112">
        <f>ABS(U30-AC30)/ABS(Q5)</f>
        <v>5.4545454545454532E-3</v>
      </c>
      <c r="AL30" s="113"/>
      <c r="AM30" s="113"/>
      <c r="AN30" s="114"/>
      <c r="AO30" s="77" t="str">
        <f>IF(OR(AG30="Obergrenze",Q30&gt;=0,E30&gt;=0,BE30=FALSE,Q6=""),"erfolglos","erfolgreich")</f>
        <v>erfolgreich</v>
      </c>
      <c r="AP30" s="78"/>
      <c r="AQ30" s="78"/>
      <c r="AR30" s="79"/>
      <c r="AS30" s="74" t="str">
        <f>IF(OR(E30&gt;0,M30&lt;0,Q30&gt;0,Y30&lt;0),"Vorzeichenkonvention","")</f>
        <v/>
      </c>
      <c r="AT30" s="75"/>
      <c r="AU30" s="75"/>
      <c r="AV30" s="75"/>
      <c r="AW30" s="75"/>
      <c r="AX30" s="75"/>
      <c r="AY30" s="75"/>
      <c r="AZ30" s="76"/>
      <c r="BA30" s="38"/>
      <c r="BB30" s="60"/>
      <c r="BC30" s="68"/>
      <c r="BD30" s="68"/>
      <c r="BE30" s="69" t="b">
        <f>IF(ABS($Q$6)&gt;=0.3,AK30&lt;=0.02,AK30&lt;=0.04)</f>
        <v>1</v>
      </c>
      <c r="BF30" s="34">
        <f>Wertetabelle!D23</f>
        <v>0.29039999999999999</v>
      </c>
      <c r="BG30" s="63">
        <f>IF(BF30&gt;=AC30,AC30,$BF$30)</f>
        <v>0.1452</v>
      </c>
      <c r="BH30" s="66">
        <f>BG30</f>
        <v>0.1452</v>
      </c>
      <c r="BI30" s="49"/>
      <c r="BJ30" s="63"/>
      <c r="BK30" s="49"/>
      <c r="BL30" s="53">
        <f>Wertetabelle!C30</f>
        <v>0.29039999999999894</v>
      </c>
      <c r="BM30" s="49"/>
      <c r="BN30" s="94">
        <f>IF(U30="","",ABS((U30-AC30)/B30))</f>
        <v>3.3057851239669415E-2</v>
      </c>
      <c r="BO30" s="95"/>
      <c r="BP30" s="95"/>
      <c r="BQ30" s="96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</row>
    <row r="31" spans="1:80" s="6" customFormat="1" ht="20.95" customHeight="1">
      <c r="A31" s="29"/>
      <c r="B31" s="168">
        <v>0</v>
      </c>
      <c r="C31" s="168"/>
      <c r="D31" s="169"/>
      <c r="E31" s="83">
        <v>-0.66</v>
      </c>
      <c r="F31" s="84"/>
      <c r="G31" s="84"/>
      <c r="H31" s="85"/>
      <c r="I31" s="86">
        <v>0.27</v>
      </c>
      <c r="J31" s="87"/>
      <c r="K31" s="87"/>
      <c r="L31" s="88"/>
      <c r="M31" s="83">
        <v>20.3</v>
      </c>
      <c r="N31" s="84"/>
      <c r="O31" s="84"/>
      <c r="P31" s="85"/>
      <c r="Q31" s="83">
        <v>-0.68</v>
      </c>
      <c r="R31" s="84"/>
      <c r="S31" s="84"/>
      <c r="T31" s="85"/>
      <c r="U31" s="86">
        <v>0</v>
      </c>
      <c r="V31" s="87"/>
      <c r="W31" s="87"/>
      <c r="X31" s="88"/>
      <c r="Y31" s="83">
        <v>20.2</v>
      </c>
      <c r="Z31" s="84"/>
      <c r="AA31" s="84"/>
      <c r="AB31" s="85"/>
      <c r="AC31" s="80">
        <f>IF(Y31&gt;Wertetabelle!$B$9,
              IF(B31&gt;BF31,B31,Protokoll!BF31),
                   IF(AND(Y31&lt;=Wertetabelle!$B$9,Y31&gt;=Wertetabelle!$B$8),
                                   Protokoll!B31,
                                           IF(B31&gt;BF31,BF31,B31)))</f>
        <v>0</v>
      </c>
      <c r="AD31" s="81"/>
      <c r="AE31" s="81"/>
      <c r="AF31" s="82"/>
      <c r="AG31" s="86" t="s">
        <v>38</v>
      </c>
      <c r="AH31" s="87"/>
      <c r="AI31" s="87"/>
      <c r="AJ31" s="88"/>
      <c r="AK31" s="100">
        <f>ABS(U31-AC31)/ABS(Q5)</f>
        <v>0</v>
      </c>
      <c r="AL31" s="101"/>
      <c r="AM31" s="101"/>
      <c r="AN31" s="102"/>
      <c r="AO31" s="77" t="str">
        <f>IF(OR(AG31="Untergrenze",AG31="Obergrenze",Q31&gt;=0,E31&gt;=0,BE31=FALSE,Q6=""),"erfolglos","erfolgreich")</f>
        <v>erfolgreich</v>
      </c>
      <c r="AP31" s="78"/>
      <c r="AQ31" s="78"/>
      <c r="AR31" s="79"/>
      <c r="AS31" s="74" t="str">
        <f>IF(OR(E31&gt;0,M31&lt;0,Q31&gt;0,Y31&lt;0),"Vorzeichenkonvention","")</f>
        <v/>
      </c>
      <c r="AT31" s="75"/>
      <c r="AU31" s="75"/>
      <c r="AV31" s="75"/>
      <c r="AW31" s="75"/>
      <c r="AX31" s="75"/>
      <c r="AY31" s="75"/>
      <c r="AZ31" s="76"/>
      <c r="BA31" s="38"/>
      <c r="BB31" s="60"/>
      <c r="BC31" s="60"/>
      <c r="BD31" s="60"/>
      <c r="BE31" s="60" t="b">
        <f>IF(ABS($Q$6)&gt;=0.3,AK31&lt;=0.02,AK31&lt;=0.04)</f>
        <v>1</v>
      </c>
      <c r="BF31" s="34">
        <f>Wertetabelle!D24</f>
        <v>0.29039999999999894</v>
      </c>
      <c r="BG31" s="63">
        <f>IF(BF31&gt;=AC31,AC31,$BF$30)</f>
        <v>0</v>
      </c>
      <c r="BH31" s="66">
        <f t="shared" ref="BH31" si="2">BG31</f>
        <v>0</v>
      </c>
      <c r="BI31" s="36"/>
      <c r="BJ31" s="49"/>
      <c r="BK31" s="49"/>
      <c r="BL31" s="63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</row>
    <row r="32" spans="1:80" ht="20.95" customHeight="1">
      <c r="A32" s="127"/>
      <c r="B32" s="127"/>
      <c r="C32" s="127"/>
      <c r="D32" s="127"/>
      <c r="E32" s="127"/>
      <c r="F32" s="127"/>
      <c r="G32" s="127"/>
      <c r="H32" s="12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27"/>
      <c r="Z32" s="127"/>
      <c r="AA32" s="127"/>
      <c r="AB32" s="128"/>
      <c r="AC32" s="115" t="s">
        <v>62</v>
      </c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7"/>
      <c r="AO32" s="184" t="str">
        <f>IF(AO27&amp;AO28&amp;AO29&amp;AO30&amp;AO31 ="erfolgreicherfolgreicherfolgreicherfolgreicherfolgreich","erfolgreich","erfolglos")</f>
        <v>erfolglos</v>
      </c>
      <c r="AP32" s="185"/>
      <c r="AQ32" s="185"/>
      <c r="AR32" s="186"/>
      <c r="AS32" s="74"/>
      <c r="AT32" s="75"/>
      <c r="AU32" s="75"/>
      <c r="AV32" s="75"/>
      <c r="AW32" s="75"/>
      <c r="AX32" s="75"/>
      <c r="AY32" s="75"/>
      <c r="AZ32" s="76"/>
      <c r="BA32" s="38"/>
      <c r="BB32" s="35"/>
      <c r="BC32" s="35"/>
      <c r="BD32" s="35"/>
      <c r="BE32" s="35"/>
      <c r="BF32" s="28"/>
    </row>
    <row r="33" spans="1:59" ht="20.95" customHeight="1">
      <c r="A33" s="10"/>
      <c r="B33" s="5"/>
      <c r="C33" s="5"/>
      <c r="D33" s="5"/>
      <c r="E33" s="5"/>
      <c r="F33" s="5"/>
      <c r="G33" s="5"/>
      <c r="H33" s="5"/>
      <c r="I33" s="92"/>
      <c r="J33" s="92"/>
      <c r="K33" s="92"/>
      <c r="L33" s="92"/>
      <c r="M33" s="93"/>
      <c r="N33" s="93"/>
      <c r="O33" s="93"/>
      <c r="P33" s="93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5"/>
      <c r="BB33" s="35"/>
      <c r="BC33" s="35"/>
      <c r="BD33" s="35"/>
      <c r="BE33" s="35"/>
      <c r="BF33" s="35"/>
      <c r="BG33" s="35" t="str">
        <f>IF(AND(AG27="Obergrenze",AK27&lt;=0.04),"erfolgreich","erfolglos")</f>
        <v>erfolglos</v>
      </c>
    </row>
    <row r="34" spans="1:59" ht="20.95" customHeight="1">
      <c r="A34" s="12" t="s">
        <v>63</v>
      </c>
      <c r="B34" s="12"/>
      <c r="C34" s="12"/>
      <c r="D34" s="12"/>
      <c r="E34" s="12"/>
      <c r="F34" s="12"/>
      <c r="G34" s="12"/>
      <c r="H34" s="12"/>
      <c r="I34" s="12"/>
      <c r="K34" s="12" t="s">
        <v>64</v>
      </c>
      <c r="M34" s="12"/>
      <c r="N34" s="12"/>
      <c r="O34" s="12" t="s">
        <v>65</v>
      </c>
      <c r="Q34" s="12" t="s">
        <v>66</v>
      </c>
      <c r="R34" s="12"/>
      <c r="X34" s="12" t="s">
        <v>67</v>
      </c>
      <c r="Y34" s="12"/>
      <c r="AA34" s="12"/>
      <c r="AB34" s="12"/>
      <c r="AD34" s="12"/>
      <c r="AE34" s="12"/>
      <c r="AF34" s="12"/>
      <c r="AG34" s="12"/>
      <c r="AH34" s="12"/>
      <c r="AI34" s="12"/>
      <c r="AJ34" s="12"/>
      <c r="AK34" s="12" t="s">
        <v>68</v>
      </c>
      <c r="AL34" s="12"/>
      <c r="AN34" s="12"/>
      <c r="AO34" s="12" t="s">
        <v>69</v>
      </c>
      <c r="AR34" s="12"/>
      <c r="AS34" s="12"/>
      <c r="AT34" s="12"/>
      <c r="AU34" s="12"/>
      <c r="AX34" s="12"/>
      <c r="AY34" s="12"/>
      <c r="AZ34" s="12"/>
      <c r="BA34" s="35"/>
      <c r="BB34" s="35"/>
      <c r="BC34" s="35"/>
      <c r="BD34" s="35"/>
      <c r="BE34" s="35"/>
      <c r="BF34" s="35"/>
      <c r="BG34" s="35" t="str">
        <f>IF(AND(AG28="Obergrenze",BN28&gt;=0.04),"erfolgreich","erfolglos")</f>
        <v>erfolgreich</v>
      </c>
    </row>
    <row r="35" spans="1:59" ht="20.9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35"/>
      <c r="BB35" s="35"/>
      <c r="BC35" s="35"/>
      <c r="BD35" s="35"/>
      <c r="BE35" s="35"/>
      <c r="BF35" s="35"/>
    </row>
    <row r="36" spans="1:59" ht="20.9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35"/>
      <c r="BB36" s="35"/>
      <c r="BC36" s="35"/>
      <c r="BD36" s="35"/>
      <c r="BE36" s="35"/>
      <c r="BF36" s="35"/>
    </row>
    <row r="37" spans="1:59" ht="20.9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5"/>
      <c r="BB37" s="35"/>
      <c r="BC37" s="35"/>
      <c r="BD37" s="35"/>
      <c r="BE37" s="35"/>
      <c r="BF37" s="35"/>
    </row>
    <row r="38" spans="1:59" ht="20.9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5"/>
      <c r="BB38" s="35"/>
      <c r="BC38" s="35"/>
      <c r="BD38" s="35"/>
      <c r="BE38" s="35"/>
      <c r="BF38" s="35"/>
    </row>
    <row r="39" spans="1:59" ht="20.9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5"/>
      <c r="BB39" s="35"/>
      <c r="BC39" s="35"/>
      <c r="BD39" s="35"/>
      <c r="BE39" s="35"/>
      <c r="BF39" s="35"/>
    </row>
    <row r="40" spans="1:59" ht="20.9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5"/>
      <c r="BB40" s="35"/>
      <c r="BC40" s="35"/>
      <c r="BD40" s="35"/>
      <c r="BE40" s="35"/>
      <c r="BF40" s="35"/>
    </row>
    <row r="41" spans="1:59" ht="20.9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5"/>
      <c r="BB41" s="35"/>
      <c r="BC41" s="35"/>
      <c r="BD41" s="35"/>
      <c r="BE41" s="35"/>
      <c r="BF41" s="35"/>
    </row>
    <row r="42" spans="1:59" ht="20.9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5"/>
      <c r="BB42" s="35"/>
      <c r="BC42" s="35"/>
      <c r="BD42" s="35"/>
      <c r="BE42" s="35"/>
      <c r="BF42" s="35"/>
    </row>
    <row r="43" spans="1:59" ht="20.9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5"/>
      <c r="BB43" s="35"/>
      <c r="BC43" s="35"/>
      <c r="BD43" s="35"/>
      <c r="BE43" s="35"/>
      <c r="BF43" s="35"/>
    </row>
    <row r="44" spans="1:59" ht="20.9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5"/>
      <c r="BB44" s="35"/>
      <c r="BC44" s="35"/>
      <c r="BD44" s="35"/>
      <c r="BE44" s="35"/>
      <c r="BF44" s="35"/>
    </row>
    <row r="45" spans="1:59" ht="20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5"/>
      <c r="BB45" s="35"/>
      <c r="BC45" s="35"/>
      <c r="BD45" s="35"/>
      <c r="BE45" s="35"/>
      <c r="BF45" s="35"/>
    </row>
    <row r="46" spans="1:59" ht="20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5"/>
      <c r="BB46" s="35"/>
      <c r="BC46" s="35"/>
      <c r="BD46" s="35"/>
      <c r="BE46" s="35"/>
      <c r="BF46" s="35"/>
    </row>
    <row r="47" spans="1:59" ht="20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5"/>
      <c r="BB47" s="35"/>
      <c r="BC47" s="35"/>
      <c r="BD47" s="35"/>
      <c r="BE47" s="35"/>
      <c r="BF47" s="35"/>
    </row>
    <row r="48" spans="1:59" ht="20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5"/>
      <c r="BB48" s="35"/>
      <c r="BC48" s="35"/>
      <c r="BD48" s="35"/>
      <c r="BE48" s="35"/>
      <c r="BF48" s="35"/>
    </row>
    <row r="49" spans="1:58" ht="20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5"/>
      <c r="BB49" s="35"/>
      <c r="BC49" s="35"/>
      <c r="BD49" s="35"/>
      <c r="BE49" s="35"/>
      <c r="BF49" s="35"/>
    </row>
    <row r="50" spans="1:58" ht="20.9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5"/>
      <c r="BB50" s="35"/>
      <c r="BC50" s="35"/>
      <c r="BD50" s="35"/>
      <c r="BE50" s="35"/>
      <c r="BF50" s="35"/>
    </row>
    <row r="51" spans="1:58" ht="20.9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5"/>
      <c r="BB51" s="35"/>
      <c r="BC51" s="35"/>
      <c r="BD51" s="35"/>
      <c r="BE51" s="35"/>
      <c r="BF51" s="35"/>
    </row>
    <row r="52" spans="1:58" ht="20.9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5"/>
      <c r="BB52" s="35"/>
      <c r="BC52" s="35"/>
      <c r="BD52" s="35"/>
      <c r="BE52" s="35"/>
      <c r="BF52" s="35"/>
    </row>
    <row r="53" spans="1:58" ht="20.9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5"/>
      <c r="BB53" s="35"/>
      <c r="BC53" s="35"/>
      <c r="BD53" s="35"/>
      <c r="BE53" s="35"/>
      <c r="BF53" s="35"/>
    </row>
    <row r="54" spans="1:58" ht="20.9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5"/>
      <c r="BB54" s="35"/>
      <c r="BC54" s="35"/>
      <c r="BD54" s="35"/>
      <c r="BE54" s="35"/>
      <c r="BF54" s="35"/>
    </row>
    <row r="55" spans="1:58" ht="20.9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5"/>
      <c r="BB55" s="35"/>
      <c r="BC55" s="35"/>
      <c r="BD55" s="35"/>
      <c r="BE55" s="35"/>
      <c r="BF55" s="35"/>
    </row>
    <row r="56" spans="1:58" ht="20.9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5"/>
      <c r="BB56" s="35"/>
      <c r="BC56" s="35"/>
      <c r="BD56" s="35"/>
      <c r="BE56" s="35"/>
      <c r="BF56" s="35"/>
    </row>
    <row r="57" spans="1:58" ht="20.9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5"/>
      <c r="BB57" s="35"/>
      <c r="BC57" s="35"/>
      <c r="BD57" s="35"/>
      <c r="BE57" s="35"/>
      <c r="BF57" s="35"/>
    </row>
    <row r="58" spans="1:58" ht="20.9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5"/>
      <c r="BB58" s="35"/>
      <c r="BC58" s="35"/>
      <c r="BD58" s="35"/>
      <c r="BE58" s="35"/>
      <c r="BF58" s="35"/>
    </row>
    <row r="59" spans="1:58" ht="20.9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5"/>
      <c r="BB59" s="35"/>
      <c r="BC59" s="35"/>
      <c r="BD59" s="35"/>
      <c r="BE59" s="35"/>
      <c r="BF59" s="35"/>
    </row>
    <row r="60" spans="1:58" ht="20.9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5"/>
      <c r="BB60" s="35"/>
      <c r="BC60" s="35"/>
      <c r="BD60" s="35"/>
      <c r="BE60" s="35"/>
      <c r="BF60" s="35"/>
    </row>
    <row r="61" spans="1:58" ht="20.9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5"/>
      <c r="BB61" s="35"/>
      <c r="BC61" s="35"/>
      <c r="BD61" s="35"/>
      <c r="BE61" s="35"/>
      <c r="BF61" s="35"/>
    </row>
    <row r="62" spans="1:58" ht="20.9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5"/>
      <c r="BB62" s="35"/>
      <c r="BC62" s="35"/>
      <c r="BD62" s="35"/>
      <c r="BE62" s="35"/>
      <c r="BF62" s="35"/>
    </row>
    <row r="63" spans="1:58" ht="20.95" customHeight="1">
      <c r="A63" s="4" t="s">
        <v>70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5"/>
      <c r="BB63" s="35"/>
      <c r="BC63" s="35"/>
      <c r="BD63" s="35"/>
      <c r="BE63" s="35"/>
      <c r="BF63" s="35"/>
    </row>
    <row r="64" spans="1:58" ht="20.9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35"/>
      <c r="BB64" s="35"/>
      <c r="BC64" s="35"/>
      <c r="BD64" s="35"/>
      <c r="BE64" s="35"/>
      <c r="BF64" s="35"/>
    </row>
    <row r="65" spans="1:80" ht="20.95" customHeight="1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35"/>
      <c r="BB65" s="35"/>
      <c r="BC65" s="35"/>
      <c r="BD65" s="35"/>
      <c r="BE65" s="35"/>
      <c r="BF65" s="35"/>
    </row>
    <row r="66" spans="1:80" ht="20.95" customHeight="1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35"/>
      <c r="BB66" s="35"/>
      <c r="BC66" s="35"/>
      <c r="BD66" s="35"/>
      <c r="BE66" s="35"/>
      <c r="BF66" s="35"/>
    </row>
    <row r="67" spans="1:80" ht="20.95" customHeight="1">
      <c r="A67" s="181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  <c r="BA67" s="35"/>
      <c r="BB67" s="35"/>
      <c r="BC67" s="35"/>
      <c r="BD67" s="35"/>
      <c r="BE67" s="35"/>
      <c r="BF67" s="35"/>
    </row>
    <row r="68" spans="1:80" ht="20.95" customHeight="1">
      <c r="A68" s="181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35"/>
      <c r="BB68" s="35"/>
      <c r="BC68" s="35"/>
      <c r="BD68" s="35"/>
      <c r="BE68" s="35"/>
      <c r="BF68" s="35"/>
    </row>
    <row r="69" spans="1:80" s="1" customFormat="1" ht="20.95" customHeight="1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38"/>
      <c r="BB69" s="38"/>
      <c r="BC69" s="38"/>
      <c r="BD69" s="38"/>
      <c r="BE69" s="38"/>
      <c r="BF69" s="38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</row>
    <row r="70" spans="1:80" s="1" customFormat="1" ht="20.95" customHeight="1">
      <c r="A70" s="155" t="s">
        <v>71</v>
      </c>
      <c r="B70" s="155"/>
      <c r="C70" s="155"/>
      <c r="D70" s="155"/>
      <c r="E70" s="155"/>
      <c r="F70" s="187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55" t="s">
        <v>72</v>
      </c>
      <c r="AO70" s="155"/>
      <c r="AP70" s="155"/>
      <c r="AQ70" s="155"/>
      <c r="AR70" s="155"/>
      <c r="AS70" s="182"/>
      <c r="AT70" s="182"/>
      <c r="AU70" s="182"/>
      <c r="AV70" s="182"/>
      <c r="AW70" s="182"/>
      <c r="AX70" s="182"/>
      <c r="AY70" s="182"/>
      <c r="AZ70" s="182"/>
      <c r="BA70" s="38"/>
      <c r="BB70" s="38"/>
      <c r="BC70" s="38"/>
      <c r="BD70" s="38"/>
      <c r="BE70" s="38"/>
      <c r="BF70" s="38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</row>
    <row r="71" spans="1:80" s="1" customFormat="1" ht="20.9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8"/>
      <c r="BB71" s="38"/>
      <c r="BC71" s="38"/>
      <c r="BD71" s="38"/>
      <c r="BE71" s="38"/>
      <c r="BF71" s="38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</row>
    <row r="72" spans="1:80" s="1" customFormat="1" ht="20.9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8"/>
      <c r="BB72" s="38"/>
      <c r="BC72" s="38"/>
      <c r="BD72" s="38"/>
      <c r="BE72" s="38"/>
      <c r="BF72" s="38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</row>
    <row r="74" spans="1:80" s="2" customFormat="1" ht="20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</row>
  </sheetData>
  <sheetProtection algorithmName="SHA-512" hashValue="yN6IEgSqPw4Bwzdie3oD/C0yja5lZDYh5Iy8si+Ad5r0ewbSBK2lxUsCvf/k5YJ4dCt108tri7Fq/5wENU/I8w==" saltValue="LxtH8cLwsGtway5FqnYS1Q==" spinCount="100000" sheet="1" objects="1" scenarios="1" selectLockedCells="1"/>
  <protectedRanges>
    <protectedRange algorithmName="SHA-512" hashValue="pfH+FBCe1QQ0cy6BIQAXJXhoCd0r4x8918bp/VMuVC1T7KY2Nf19SJzWnyyP0V3R7DRTW+G3LUWduUtSYiHAWA==" saltValue="YKmS0MCp9iXO38R76jaD0g==" spinCount="100000" sqref="Y3:AB4 A10:H18 I10:AY12 U14:AB18 A20:AZ25 A26:D31 A33:AZ33 A32:AC32 A1:AZ2 A3:D5 M3:P6 Y6:AB6 A35:AY62 A63:AZ63 AP34:AZ34 A70 AN70 A34:AN34 A19:AB19 AC27:AF31 A6:X9 AK3:AZ9 Y7:AJ9" name="allgemein"/>
    <protectedRange algorithmName="SHA-512" hashValue="pfH+FBCe1QQ0cy6BIQAXJXhoCd0r4x8918bp/VMuVC1T7KY2Nf19SJzWnyyP0V3R7DRTW+G3LUWduUtSYiHAWA==" saltValue="YKmS0MCp9iXO38R76jaD0g==" spinCount="100000" sqref="AO34" name="allgemein_2"/>
    <protectedRange algorithmName="SHA-512" hashValue="pfH+FBCe1QQ0cy6BIQAXJXhoCd0r4x8918bp/VMuVC1T7KY2Nf19SJzWnyyP0V3R7DRTW+G3LUWduUtSYiHAWA==" saltValue="YKmS0MCp9iXO38R76jaD0g==" spinCount="100000" sqref="AO27:AR32" name="allgemein_1"/>
    <protectedRange algorithmName="SHA-512" hashValue="pfH+FBCe1QQ0cy6BIQAXJXhoCd0r4x8918bp/VMuVC1T7KY2Nf19SJzWnyyP0V3R7DRTW+G3LUWduUtSYiHAWA==" saltValue="YKmS0MCp9iXO38R76jaD0g==" spinCount="100000" sqref="AC19:AF19" name="allgemein_3"/>
    <protectedRange algorithmName="SHA-512" hashValue="pfH+FBCe1QQ0cy6BIQAXJXhoCd0r4x8918bp/VMuVC1T7KY2Nf19SJzWnyyP0V3R7DRTW+G3LUWduUtSYiHAWA==" saltValue="YKmS0MCp9iXO38R76jaD0g==" spinCount="100000" sqref="AC14:AF18" name="allgemein_2_1"/>
  </protectedRanges>
  <mergeCells count="208">
    <mergeCell ref="B29:D29"/>
    <mergeCell ref="B28:D28"/>
    <mergeCell ref="B26:D26"/>
    <mergeCell ref="B27:D27"/>
    <mergeCell ref="AO27:AR27"/>
    <mergeCell ref="AS27:AZ27"/>
    <mergeCell ref="E23:P24"/>
    <mergeCell ref="AS26:AZ26"/>
    <mergeCell ref="AK28:AN28"/>
    <mergeCell ref="AK29:AN29"/>
    <mergeCell ref="Y5:AB5"/>
    <mergeCell ref="AC5:AJ5"/>
    <mergeCell ref="A69:AZ69"/>
    <mergeCell ref="AS70:AZ70"/>
    <mergeCell ref="A70:E70"/>
    <mergeCell ref="AN70:AR70"/>
    <mergeCell ref="AS30:AZ30"/>
    <mergeCell ref="A66:AZ66"/>
    <mergeCell ref="A65:AZ65"/>
    <mergeCell ref="A67:AZ67"/>
    <mergeCell ref="A68:AZ68"/>
    <mergeCell ref="M30:P30"/>
    <mergeCell ref="AO32:AR32"/>
    <mergeCell ref="AC32:AN32"/>
    <mergeCell ref="E30:H30"/>
    <mergeCell ref="F70:AM70"/>
    <mergeCell ref="A23:D24"/>
    <mergeCell ref="AS23:AZ24"/>
    <mergeCell ref="E29:H29"/>
    <mergeCell ref="AG13:AN13"/>
    <mergeCell ref="AG14:AN14"/>
    <mergeCell ref="AG15:AN15"/>
    <mergeCell ref="AG16:AN16"/>
    <mergeCell ref="AG17:AN17"/>
    <mergeCell ref="AG18:AN18"/>
    <mergeCell ref="BB11:BD11"/>
    <mergeCell ref="A32:H32"/>
    <mergeCell ref="I32:X32"/>
    <mergeCell ref="Y32:AB32"/>
    <mergeCell ref="M17:P17"/>
    <mergeCell ref="U16:X16"/>
    <mergeCell ref="U17:X17"/>
    <mergeCell ref="Q17:T17"/>
    <mergeCell ref="Q16:T16"/>
    <mergeCell ref="A18:D18"/>
    <mergeCell ref="Q18:T18"/>
    <mergeCell ref="E18:H18"/>
    <mergeCell ref="I18:L18"/>
    <mergeCell ref="M18:P18"/>
    <mergeCell ref="U18:X18"/>
    <mergeCell ref="Y18:AB18"/>
    <mergeCell ref="AC18:AF18"/>
    <mergeCell ref="A17:D17"/>
    <mergeCell ref="Q6:V6"/>
    <mergeCell ref="W6:X6"/>
    <mergeCell ref="BB19:BD19"/>
    <mergeCell ref="BB10:BD10"/>
    <mergeCell ref="B30:D30"/>
    <mergeCell ref="B31:D31"/>
    <mergeCell ref="A25:D25"/>
    <mergeCell ref="E26:H26"/>
    <mergeCell ref="Q28:T28"/>
    <mergeCell ref="U28:X28"/>
    <mergeCell ref="Q29:T29"/>
    <mergeCell ref="U29:X29"/>
    <mergeCell ref="E27:H27"/>
    <mergeCell ref="AC26:AF26"/>
    <mergeCell ref="AC27:AF27"/>
    <mergeCell ref="I26:L26"/>
    <mergeCell ref="I27:L27"/>
    <mergeCell ref="AC31:AF31"/>
    <mergeCell ref="A16:D16"/>
    <mergeCell ref="E16:H16"/>
    <mergeCell ref="E17:H17"/>
    <mergeCell ref="I16:L16"/>
    <mergeCell ref="I17:L17"/>
    <mergeCell ref="M16:P16"/>
    <mergeCell ref="U14:X14"/>
    <mergeCell ref="AC14:AF14"/>
    <mergeCell ref="Y14:AB14"/>
    <mergeCell ref="A15:D15"/>
    <mergeCell ref="Q15:T15"/>
    <mergeCell ref="E15:H15"/>
    <mergeCell ref="I15:L15"/>
    <mergeCell ref="M15:P15"/>
    <mergeCell ref="U15:X15"/>
    <mergeCell ref="Y15:AB15"/>
    <mergeCell ref="AC15:AF15"/>
    <mergeCell ref="Y16:AB16"/>
    <mergeCell ref="Y17:AB17"/>
    <mergeCell ref="AC16:AF16"/>
    <mergeCell ref="AC17:AF17"/>
    <mergeCell ref="I13:L13"/>
    <mergeCell ref="M12:P12"/>
    <mergeCell ref="M13:P13"/>
    <mergeCell ref="A12:D12"/>
    <mergeCell ref="Q12:T12"/>
    <mergeCell ref="U12:X12"/>
    <mergeCell ref="Y12:AB12"/>
    <mergeCell ref="AC12:AF12"/>
    <mergeCell ref="A13:D13"/>
    <mergeCell ref="Q13:T13"/>
    <mergeCell ref="U13:X13"/>
    <mergeCell ref="AC13:AF13"/>
    <mergeCell ref="Y13:AB13"/>
    <mergeCell ref="E12:H12"/>
    <mergeCell ref="E13:H13"/>
    <mergeCell ref="A14:D14"/>
    <mergeCell ref="Q14:T14"/>
    <mergeCell ref="E14:H14"/>
    <mergeCell ref="I14:L14"/>
    <mergeCell ref="M14:P14"/>
    <mergeCell ref="E3:L3"/>
    <mergeCell ref="Q3:X3"/>
    <mergeCell ref="Q4:X4"/>
    <mergeCell ref="AC3:AJ3"/>
    <mergeCell ref="I12:L12"/>
    <mergeCell ref="A10:D11"/>
    <mergeCell ref="E10:H11"/>
    <mergeCell ref="I10:P11"/>
    <mergeCell ref="Q10:X11"/>
    <mergeCell ref="Y10:AF11"/>
    <mergeCell ref="M6:P6"/>
    <mergeCell ref="AG10:AN11"/>
    <mergeCell ref="AG12:AN12"/>
    <mergeCell ref="W5:X5"/>
    <mergeCell ref="A5:D5"/>
    <mergeCell ref="A4:D4"/>
    <mergeCell ref="E4:L4"/>
    <mergeCell ref="Y4:AB4"/>
    <mergeCell ref="AC4:AJ4"/>
    <mergeCell ref="M5:P5"/>
    <mergeCell ref="E5:L5"/>
    <mergeCell ref="Q5:V5"/>
    <mergeCell ref="Y6:AB6"/>
    <mergeCell ref="AC6:AJ6"/>
    <mergeCell ref="Q19:AB19"/>
    <mergeCell ref="I25:L25"/>
    <mergeCell ref="E25:H25"/>
    <mergeCell ref="M25:P25"/>
    <mergeCell ref="M26:P26"/>
    <mergeCell ref="M27:P27"/>
    <mergeCell ref="M28:P28"/>
    <mergeCell ref="M29:P29"/>
    <mergeCell ref="Q23:AJ24"/>
    <mergeCell ref="Q25:T25"/>
    <mergeCell ref="U25:X25"/>
    <mergeCell ref="Q26:T26"/>
    <mergeCell ref="U26:X26"/>
    <mergeCell ref="Y26:AB26"/>
    <mergeCell ref="Q27:T27"/>
    <mergeCell ref="U27:X27"/>
    <mergeCell ref="AC19:AF19"/>
    <mergeCell ref="I29:L29"/>
    <mergeCell ref="Y25:AB25"/>
    <mergeCell ref="AC25:AF25"/>
    <mergeCell ref="AG19:AN19"/>
    <mergeCell ref="AK27:AN27"/>
    <mergeCell ref="A19:P19"/>
    <mergeCell ref="AK23:AR24"/>
    <mergeCell ref="BN28:BQ28"/>
    <mergeCell ref="BN29:BQ29"/>
    <mergeCell ref="BN30:BQ30"/>
    <mergeCell ref="AK31:AN31"/>
    <mergeCell ref="AK25:AN25"/>
    <mergeCell ref="AK26:AN26"/>
    <mergeCell ref="BN27:BQ27"/>
    <mergeCell ref="Y31:AB31"/>
    <mergeCell ref="AG25:AJ25"/>
    <mergeCell ref="AG26:AJ26"/>
    <mergeCell ref="AG27:AJ27"/>
    <mergeCell ref="AG28:AJ28"/>
    <mergeCell ref="AG29:AJ29"/>
    <mergeCell ref="AG30:AJ30"/>
    <mergeCell ref="Y27:AB27"/>
    <mergeCell ref="Y28:AB28"/>
    <mergeCell ref="Y29:AB29"/>
    <mergeCell ref="AO28:AR28"/>
    <mergeCell ref="AK30:AN30"/>
    <mergeCell ref="AO26:AR26"/>
    <mergeCell ref="AO25:AR25"/>
    <mergeCell ref="AS25:AZ25"/>
    <mergeCell ref="AS29:AZ29"/>
    <mergeCell ref="AS28:AZ28"/>
    <mergeCell ref="BB4:BD5"/>
    <mergeCell ref="A64:AZ64"/>
    <mergeCell ref="AS32:AZ32"/>
    <mergeCell ref="AS31:AZ31"/>
    <mergeCell ref="AO29:AR29"/>
    <mergeCell ref="AO30:AR30"/>
    <mergeCell ref="AC28:AF28"/>
    <mergeCell ref="AC29:AF29"/>
    <mergeCell ref="AC30:AF30"/>
    <mergeCell ref="Y30:AB30"/>
    <mergeCell ref="AO31:AR31"/>
    <mergeCell ref="AG31:AJ31"/>
    <mergeCell ref="M31:P31"/>
    <mergeCell ref="Q30:T30"/>
    <mergeCell ref="U30:X30"/>
    <mergeCell ref="Q31:T31"/>
    <mergeCell ref="U31:X31"/>
    <mergeCell ref="E28:H28"/>
    <mergeCell ref="I28:L28"/>
    <mergeCell ref="I30:L30"/>
    <mergeCell ref="I31:L31"/>
    <mergeCell ref="I33:L33"/>
    <mergeCell ref="M33:P33"/>
    <mergeCell ref="E31:H31"/>
  </mergeCells>
  <conditionalFormatting sqref="A64:A69">
    <cfRule type="cellIs" dxfId="20" priority="125" operator="equal">
      <formula>""</formula>
    </cfRule>
  </conditionalFormatting>
  <conditionalFormatting sqref="E3:E5">
    <cfRule type="cellIs" dxfId="19" priority="391" operator="equal">
      <formula>""</formula>
    </cfRule>
  </conditionalFormatting>
  <conditionalFormatting sqref="E26:H31">
    <cfRule type="cellIs" dxfId="18" priority="10" operator="equal">
      <formula>""</formula>
    </cfRule>
  </conditionalFormatting>
  <conditionalFormatting sqref="F70">
    <cfRule type="cellIs" dxfId="17" priority="28" operator="equal">
      <formula>""</formula>
    </cfRule>
  </conditionalFormatting>
  <conditionalFormatting sqref="I13:I18 M13:M18">
    <cfRule type="cellIs" dxfId="16" priority="4" operator="equal">
      <formula>""</formula>
    </cfRule>
  </conditionalFormatting>
  <conditionalFormatting sqref="I28:I31">
    <cfRule type="cellIs" dxfId="15" priority="9" operator="equal">
      <formula>""</formula>
    </cfRule>
  </conditionalFormatting>
  <conditionalFormatting sqref="I26:P27 M28:P31">
    <cfRule type="cellIs" dxfId="14" priority="7" operator="equal">
      <formula>""</formula>
    </cfRule>
  </conditionalFormatting>
  <conditionalFormatting sqref="Q3:Q6">
    <cfRule type="cellIs" dxfId="13" priority="29" operator="equal">
      <formula>""</formula>
    </cfRule>
  </conditionalFormatting>
  <conditionalFormatting sqref="Q14:T18">
    <cfRule type="cellIs" dxfId="12" priority="3" operator="equal">
      <formula>""</formula>
    </cfRule>
  </conditionalFormatting>
  <conditionalFormatting sqref="Q27:U31">
    <cfRule type="cellIs" dxfId="11" priority="5" operator="equal">
      <formula>""</formula>
    </cfRule>
  </conditionalFormatting>
  <conditionalFormatting sqref="Y16:AB16">
    <cfRule type="containsText" dxfId="10" priority="219" operator="containsText" text="erfolgreich">
      <formula>NOT(ISERROR(SEARCH("erfolgreich",Y16)))</formula>
    </cfRule>
  </conditionalFormatting>
  <conditionalFormatting sqref="Y18:AB18">
    <cfRule type="containsText" dxfId="9" priority="218" operator="containsText" text="erfolgreich">
      <formula>NOT(ISERROR(SEARCH("erfolgreich",Y18)))</formula>
    </cfRule>
  </conditionalFormatting>
  <conditionalFormatting sqref="Y27:AB31">
    <cfRule type="cellIs" dxfId="8" priority="1" operator="equal">
      <formula>""</formula>
    </cfRule>
  </conditionalFormatting>
  <conditionalFormatting sqref="AC3:AC6">
    <cfRule type="cellIs" dxfId="7" priority="2" operator="equal">
      <formula>""</formula>
    </cfRule>
  </conditionalFormatting>
  <conditionalFormatting sqref="AC14:AF19">
    <cfRule type="containsText" dxfId="6" priority="15" operator="containsText" text="erfolgreich">
      <formula>NOT(ISERROR(SEARCH("erfolgreich",AC14)))</formula>
    </cfRule>
  </conditionalFormatting>
  <conditionalFormatting sqref="AG12:AG19">
    <cfRule type="cellIs" dxfId="5" priority="21" operator="equal">
      <formula>""</formula>
    </cfRule>
  </conditionalFormatting>
  <conditionalFormatting sqref="AG26:AG31">
    <cfRule type="cellIs" dxfId="4" priority="153" operator="equal">
      <formula>""</formula>
    </cfRule>
  </conditionalFormatting>
  <conditionalFormatting sqref="AO27:AR32">
    <cfRule type="containsText" dxfId="3" priority="13" operator="containsText" text="erfolgreich">
      <formula>NOT(ISERROR(SEARCH("erfolgreich",AO27)))</formula>
    </cfRule>
  </conditionalFormatting>
  <conditionalFormatting sqref="AS26:AS32">
    <cfRule type="cellIs" dxfId="2" priority="26" operator="equal">
      <formula>""</formula>
    </cfRule>
  </conditionalFormatting>
  <conditionalFormatting sqref="AS70">
    <cfRule type="cellIs" dxfId="1" priority="235" operator="equal">
      <formula>""</formula>
    </cfRule>
  </conditionalFormatting>
  <conditionalFormatting sqref="BF27:BF31">
    <cfRule type="cellIs" dxfId="0" priority="225" operator="equal">
      <formula>""</formula>
    </cfRule>
  </conditionalFormatting>
  <dataValidations disablePrompts="1" count="5">
    <dataValidation type="decimal" operator="greaterThanOrEqual" allowBlank="1" showInputMessage="1" showErrorMessage="1" sqref="M17:P18 N16:P16 R16:T16 M26:P31 J17:L17 M13:P14 R18:T18 Y27:AB31" xr:uid="{00000000-0002-0000-0000-000000000000}">
      <formula1>0</formula1>
    </dataValidation>
    <dataValidation operator="greaterThanOrEqual" showInputMessage="1" showErrorMessage="1" sqref="Q3 W5" xr:uid="{00000000-0002-0000-0000-000001000000}"/>
    <dataValidation type="decimal" operator="greaterThanOrEqual" showInputMessage="1" showErrorMessage="1" sqref="Q5" xr:uid="{00000000-0002-0000-0000-000002000000}">
      <formula1>0</formula1>
    </dataValidation>
    <dataValidation operator="greaterThanOrEqual" allowBlank="1" showInputMessage="1" showErrorMessage="1" sqref="AC4:AJ4 E3:E4 F4:L4 AK5 AC3 AC27:AF31" xr:uid="{00000000-0002-0000-0000-000003000000}"/>
    <dataValidation type="decimal" allowBlank="1" showInputMessage="1" showErrorMessage="1" sqref="E26:L31 Q27:X31 I18:L18 I16:L16 I15:P15 Q14:T15 Q17:T17" xr:uid="{00000000-0002-0000-0000-000004000000}">
      <formula1>-1000</formula1>
      <formula2>1000</formula2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Header>&amp;L&amp;G&amp;C&amp;"-,Fett"&amp;16Protokoll der Funktionsprüfung der 
Wirk- und Blindleistungsanpassung von Erzeugungsanlagen</oddHeader>
    <oddFooter>&amp;LBayernwerk Netz GmbH</oddFooter>
  </headerFooter>
  <rowBreaks count="1" manualBreakCount="1">
    <brk id="34" max="51" man="1"/>
  </rowBreaks>
  <ignoredErrors>
    <ignoredError sqref="AG15 BF14:BF18" unlockedFormula="1"/>
    <ignoredError xmlns:x16r3="http://schemas.microsoft.com/office/spreadsheetml/2018/08/main" sqref="BB4" x16r3:misleadingFormat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99753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99753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99753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8" name="Check Box 23">
              <controlPr defaultSize="0" autoFill="0" autoLine="0" autoPict="0">
                <anchor moveWithCells="1" sizeWithCells="1">
                  <from>
                    <xdr:col>30</xdr:col>
                    <xdr:colOff>99753</xdr:colOff>
                    <xdr:row>8</xdr:row>
                    <xdr:rowOff>99753</xdr:rowOff>
                  </from>
                  <to>
                    <xdr:col>30</xdr:col>
                    <xdr:colOff>99753</xdr:colOff>
                    <xdr:row>8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9" name="Check Box 24">
              <controlPr defaultSize="0" autoFill="0" autoLine="0" autoPict="0">
                <anchor moveWithCells="1" sizeWithCells="1">
                  <from>
                    <xdr:col>30</xdr:col>
                    <xdr:colOff>99753</xdr:colOff>
                    <xdr:row>8</xdr:row>
                    <xdr:rowOff>99753</xdr:rowOff>
                  </from>
                  <to>
                    <xdr:col>30</xdr:col>
                    <xdr:colOff>99753</xdr:colOff>
                    <xdr:row>8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0" name="Check Box 25">
              <controlPr defaultSize="0" autoFill="0" autoLine="0" autoPict="0">
                <anchor moveWithCells="1" sizeWithCells="1">
                  <from>
                    <xdr:col>30</xdr:col>
                    <xdr:colOff>99753</xdr:colOff>
                    <xdr:row>8</xdr:row>
                    <xdr:rowOff>99753</xdr:rowOff>
                  </from>
                  <to>
                    <xdr:col>30</xdr:col>
                    <xdr:colOff>99753</xdr:colOff>
                    <xdr:row>8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1" name="Check Box 27">
              <controlPr defaultSize="0" autoFill="0" autoLine="0" autoPict="0">
                <anchor moveWithCells="1" sizeWithCells="1">
                  <from>
                    <xdr:col>8</xdr:col>
                    <xdr:colOff>16625</xdr:colOff>
                    <xdr:row>24</xdr:row>
                    <xdr:rowOff>116378</xdr:rowOff>
                  </from>
                  <to>
                    <xdr:col>8</xdr:col>
                    <xdr:colOff>16625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2" name="Check Box 28">
              <controlPr defaultSize="0" autoFill="0" autoLine="0" autoPict="0">
                <anchor moveWithCells="1" sizeWithCells="1">
                  <from>
                    <xdr:col>8</xdr:col>
                    <xdr:colOff>16625</xdr:colOff>
                    <xdr:row>24</xdr:row>
                    <xdr:rowOff>116378</xdr:rowOff>
                  </from>
                  <to>
                    <xdr:col>8</xdr:col>
                    <xdr:colOff>16625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3" name="Check Box 29">
              <controlPr defaultSize="0" autoFill="0" autoLine="0" autoPict="0">
                <anchor moveWithCells="1" sizeWithCells="1">
                  <from>
                    <xdr:col>8</xdr:col>
                    <xdr:colOff>16625</xdr:colOff>
                    <xdr:row>24</xdr:row>
                    <xdr:rowOff>116378</xdr:rowOff>
                  </from>
                  <to>
                    <xdr:col>8</xdr:col>
                    <xdr:colOff>16625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4" name="Check Box 32">
              <controlPr defaultSize="0" autoFill="0" autoLine="0" autoPict="0">
                <anchor moveWithCells="1" sizeWithCells="1">
                  <from>
                    <xdr:col>22</xdr:col>
                    <xdr:colOff>49876</xdr:colOff>
                    <xdr:row>24</xdr:row>
                    <xdr:rowOff>116378</xdr:rowOff>
                  </from>
                  <to>
                    <xdr:col>22</xdr:col>
                    <xdr:colOff>49876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15" name="Check Box 33">
              <controlPr defaultSize="0" autoFill="0" autoLine="0" autoPict="0">
                <anchor moveWithCells="1" sizeWithCells="1">
                  <from>
                    <xdr:col>22</xdr:col>
                    <xdr:colOff>49876</xdr:colOff>
                    <xdr:row>24</xdr:row>
                    <xdr:rowOff>116378</xdr:rowOff>
                  </from>
                  <to>
                    <xdr:col>22</xdr:col>
                    <xdr:colOff>49876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16" name="Check Box 34">
              <controlPr defaultSize="0" autoFill="0" autoLine="0" autoPict="0">
                <anchor moveWithCells="1" sizeWithCells="1">
                  <from>
                    <xdr:col>22</xdr:col>
                    <xdr:colOff>49876</xdr:colOff>
                    <xdr:row>24</xdr:row>
                    <xdr:rowOff>116378</xdr:rowOff>
                  </from>
                  <to>
                    <xdr:col>22</xdr:col>
                    <xdr:colOff>49876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17" name="Check Box 87">
              <controlPr defaultSize="0" autoFill="0" autoLine="0" autoPict="0">
                <anchor moveWithCells="1" sizeWithCells="1">
                  <from>
                    <xdr:col>20</xdr:col>
                    <xdr:colOff>16625</xdr:colOff>
                    <xdr:row>24</xdr:row>
                    <xdr:rowOff>116378</xdr:rowOff>
                  </from>
                  <to>
                    <xdr:col>20</xdr:col>
                    <xdr:colOff>16625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18" name="Check Box 88">
              <controlPr defaultSize="0" autoFill="0" autoLine="0" autoPict="0">
                <anchor moveWithCells="1" sizeWithCells="1">
                  <from>
                    <xdr:col>20</xdr:col>
                    <xdr:colOff>16625</xdr:colOff>
                    <xdr:row>24</xdr:row>
                    <xdr:rowOff>116378</xdr:rowOff>
                  </from>
                  <to>
                    <xdr:col>20</xdr:col>
                    <xdr:colOff>16625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19" name="Check Box 89">
              <controlPr defaultSize="0" autoFill="0" autoLine="0" autoPict="0">
                <anchor moveWithCells="1" sizeWithCells="1">
                  <from>
                    <xdr:col>20</xdr:col>
                    <xdr:colOff>16625</xdr:colOff>
                    <xdr:row>24</xdr:row>
                    <xdr:rowOff>116378</xdr:rowOff>
                  </from>
                  <to>
                    <xdr:col>20</xdr:col>
                    <xdr:colOff>16625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20" name="Check Box 92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99753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21" name="Check Box 93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99753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22" name="Check Box 94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99753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23" name="Check Box 105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99753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24" name="Check Box 106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99753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25" name="Check Box 107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99753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26" name="Check Box 108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99753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27" name="Check Box 109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99753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28" name="Check Box 110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99753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29" name="Check Box 113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108065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30" name="Check Box 114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108065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31" name="Check Box 115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108065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32" name="Check Box 116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108065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33" name="Check Box 117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108065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34" name="Check Box 118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108065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35" name="Check Box 119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108065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36" name="Check Box 120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108065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37" name="Check Box 121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108065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38" name="Check Box 122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108065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39" name="Check Box 123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108065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40" name="Check Box 124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108065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showErrorMessage="1" promptTitle="Energieträger" prompt="PV_x000a_Wind_x000a_Bio_x000a_BHKW_x000a_Wasser_x000a_Sonstiges" xr:uid="{00000000-0002-0000-0000-000005000000}">
          <x14:formula1>
            <xm:f>DropDown!$A$2:$A$7</xm:f>
          </x14:formula1>
          <xm:sqref>E5</xm:sqref>
        </x14:dataValidation>
        <x14:dataValidation type="list" operator="greaterThanOrEqual" allowBlank="1" showInputMessage="1" showErrorMessage="1" xr:uid="{00000000-0002-0000-0000-000006000000}">
          <x14:formula1>
            <xm:f>DropDown!$B$2:$B$13</xm:f>
          </x14:formula1>
          <xm:sqref>Q4</xm:sqref>
        </x14:dataValidation>
        <x14:dataValidation type="list" operator="greaterThanOrEqual" allowBlank="1" showInputMessage="1" showErrorMessage="1" xr:uid="{00000000-0002-0000-0000-000008000000}">
          <x14:formula1>
            <xm:f>DropDown!$D$2:$D$4</xm:f>
          </x14:formula1>
          <xm:sqref>AG26:AJ31</xm:sqref>
        </x14:dataValidation>
        <x14:dataValidation type="list" operator="greaterThanOrEqual" allowBlank="1" showInputMessage="1" showErrorMessage="1" xr:uid="{00000000-0002-0000-0000-000009000000}">
          <x14:formula1>
            <xm:f>DropDown!$E$2:$E$5</xm:f>
          </x14:formula1>
          <xm:sqref>AK7</xm:sqref>
        </x14:dataValidation>
        <x14:dataValidation type="list" allowBlank="1" showInputMessage="1" showErrorMessage="1" xr:uid="{C5C41858-9AED-4225-89C9-90EC4E3BEB1C}">
          <x14:formula1>
            <xm:f>DropDown!$G$2</xm:f>
          </x14:formula1>
          <xm:sqref>AC5:AJ5</xm:sqref>
        </x14:dataValidation>
        <x14:dataValidation type="list" operator="greaterThanOrEqual" allowBlank="1" showInputMessage="1" showErrorMessage="1" xr:uid="{30EF229A-7F07-4CB8-ACE9-59D1DA35BAD5}">
          <x14:formula1>
            <xm:f>DropDown!$E$2:$E$3</xm:f>
          </x14:formula1>
          <xm:sqref>AC6:AJ6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U27"/>
  <sheetViews>
    <sheetView workbookViewId="0">
      <selection activeCell="B6" sqref="B6"/>
    </sheetView>
  </sheetViews>
  <sheetFormatPr baseColWidth="10" defaultColWidth="11.44140625" defaultRowHeight="15.05"/>
  <cols>
    <col min="1" max="1" width="13.33203125" bestFit="1" customWidth="1"/>
    <col min="3" max="3" width="10" customWidth="1"/>
    <col min="5" max="5" width="10.44140625" bestFit="1" customWidth="1"/>
    <col min="6" max="6" width="6.44140625" customWidth="1"/>
    <col min="7" max="7" width="11.44140625" customWidth="1"/>
    <col min="18" max="18" width="13.109375" bestFit="1" customWidth="1"/>
  </cols>
  <sheetData>
    <row r="1" spans="1:15" s="23" customFormat="1">
      <c r="A1" s="23" t="s">
        <v>73</v>
      </c>
      <c r="B1" s="23" t="s">
        <v>74</v>
      </c>
      <c r="E1" s="24" t="s">
        <v>75</v>
      </c>
      <c r="F1" s="25" t="s">
        <v>76</v>
      </c>
      <c r="G1" s="25" t="s">
        <v>77</v>
      </c>
      <c r="I1" s="24" t="s">
        <v>75</v>
      </c>
      <c r="J1" s="25" t="s">
        <v>76</v>
      </c>
      <c r="K1" s="25" t="s">
        <v>77</v>
      </c>
      <c r="M1" s="24" t="s">
        <v>75</v>
      </c>
      <c r="N1" s="25" t="s">
        <v>76</v>
      </c>
      <c r="O1" s="25" t="s">
        <v>77</v>
      </c>
    </row>
    <row r="2" spans="1:15">
      <c r="A2" t="s">
        <v>78</v>
      </c>
      <c r="B2" s="14">
        <f>IF(Protokoll!$Q$4="Mittelspannungs-Direktanschluss",0.91*$B$9,0.95*$B$9)</f>
        <v>19</v>
      </c>
      <c r="C2">
        <v>0</v>
      </c>
      <c r="D2" s="14"/>
      <c r="E2" s="7" t="s">
        <v>79</v>
      </c>
      <c r="F2" s="19">
        <f>B2</f>
        <v>19</v>
      </c>
      <c r="G2" s="16">
        <f>B8</f>
        <v>-0.29039999999999999</v>
      </c>
      <c r="I2" s="7" t="s">
        <v>80</v>
      </c>
      <c r="J2" s="14">
        <f>0.9*B9</f>
        <v>18</v>
      </c>
      <c r="K2" s="15">
        <f>K3</f>
        <v>-0.29039999999999999</v>
      </c>
      <c r="M2" s="7" t="s">
        <v>81</v>
      </c>
      <c r="N2" s="14">
        <f>J2</f>
        <v>18</v>
      </c>
      <c r="O2" s="15">
        <f>O3</f>
        <v>-0.29039999999999999</v>
      </c>
    </row>
    <row r="3" spans="1:15">
      <c r="A3" t="s">
        <v>82</v>
      </c>
      <c r="B3" s="14">
        <f>IF(Protokoll!$Q$4="Mittelspannungs-Direktanschluss",0.94*$B$9,0.98*$B$9)</f>
        <v>19.600000000000001</v>
      </c>
      <c r="C3" s="14"/>
      <c r="D3" s="14"/>
      <c r="E3" s="7" t="s">
        <v>82</v>
      </c>
      <c r="F3" s="19">
        <f>B3</f>
        <v>19.600000000000001</v>
      </c>
      <c r="G3" s="7">
        <v>0</v>
      </c>
      <c r="I3" s="7" t="s">
        <v>83</v>
      </c>
      <c r="J3" s="14">
        <f>F2</f>
        <v>19</v>
      </c>
      <c r="K3" s="15">
        <f>G2</f>
        <v>-0.29039999999999999</v>
      </c>
      <c r="M3" s="7" t="s">
        <v>84</v>
      </c>
      <c r="N3" s="14">
        <f t="shared" ref="N3:O5" si="0">F5</f>
        <v>20.399999999999999</v>
      </c>
      <c r="O3" s="15">
        <f>G5</f>
        <v>-0.29039999999999999</v>
      </c>
    </row>
    <row r="4" spans="1:15">
      <c r="A4" t="s">
        <v>85</v>
      </c>
      <c r="B4" s="14">
        <f>IF(Protokoll!$Q$4="Mittelspannungs-Direktanschluss",1.1*$B$9,$B$6-0.04*$B$9)</f>
        <v>21</v>
      </c>
      <c r="C4" s="14"/>
      <c r="D4" s="14"/>
      <c r="E4" s="20" t="s">
        <v>86</v>
      </c>
      <c r="F4" s="21">
        <f>B10</f>
        <v>20.200000000000003</v>
      </c>
      <c r="G4" s="22">
        <f>B7</f>
        <v>0.29039999999999999</v>
      </c>
      <c r="I4" s="7" t="s">
        <v>82</v>
      </c>
      <c r="J4" s="14">
        <f t="shared" ref="J4:J5" si="1">F3</f>
        <v>19.600000000000001</v>
      </c>
      <c r="K4">
        <f t="shared" ref="K4" si="2">G3</f>
        <v>0</v>
      </c>
      <c r="M4" s="7" t="s">
        <v>85</v>
      </c>
      <c r="N4" s="14">
        <f t="shared" si="0"/>
        <v>21</v>
      </c>
      <c r="O4">
        <f t="shared" si="0"/>
        <v>0</v>
      </c>
    </row>
    <row r="5" spans="1:15">
      <c r="A5" t="s">
        <v>87</v>
      </c>
      <c r="B5" s="14">
        <f>IF(Protokoll!$Q$4="Mittelspannungs-Direktanschluss",1.135*$B$9,B6-0.01*B9)</f>
        <v>21.6</v>
      </c>
      <c r="C5">
        <v>0</v>
      </c>
      <c r="D5" s="14"/>
      <c r="E5" s="7" t="s">
        <v>88</v>
      </c>
      <c r="F5" s="19">
        <f>B11</f>
        <v>20.399999999999999</v>
      </c>
      <c r="G5" s="16">
        <f>B8</f>
        <v>-0.29039999999999999</v>
      </c>
      <c r="I5" s="7" t="s">
        <v>89</v>
      </c>
      <c r="J5" s="14">
        <f t="shared" si="1"/>
        <v>20.200000000000003</v>
      </c>
      <c r="K5" s="15">
        <f>G4</f>
        <v>0.29039999999999999</v>
      </c>
      <c r="M5" s="7" t="s">
        <v>90</v>
      </c>
      <c r="N5" s="14">
        <f t="shared" si="0"/>
        <v>21.6</v>
      </c>
      <c r="O5" s="15">
        <f>G7</f>
        <v>0.29039999999999999</v>
      </c>
    </row>
    <row r="6" spans="1:15">
      <c r="A6" s="17" t="s">
        <v>91</v>
      </c>
      <c r="B6" s="18" t="str">
        <f>LEFT(Protokoll!AC6,4)</f>
        <v>21,8</v>
      </c>
      <c r="C6" s="26"/>
      <c r="E6" s="7" t="s">
        <v>85</v>
      </c>
      <c r="F6" s="19">
        <f>B4</f>
        <v>21</v>
      </c>
      <c r="G6" s="7">
        <v>0</v>
      </c>
      <c r="I6" s="7" t="s">
        <v>92</v>
      </c>
      <c r="J6" s="14">
        <f>1.1*B9</f>
        <v>22</v>
      </c>
      <c r="K6" s="15">
        <f>K5</f>
        <v>0.29039999999999999</v>
      </c>
      <c r="M6" s="7" t="s">
        <v>93</v>
      </c>
      <c r="N6" s="14">
        <f>J6</f>
        <v>22</v>
      </c>
      <c r="O6" s="15">
        <f>O5</f>
        <v>0.29039999999999999</v>
      </c>
    </row>
    <row r="7" spans="1:15">
      <c r="A7" t="s">
        <v>94</v>
      </c>
      <c r="B7" s="15">
        <f>Protokoll!Q5*0.33</f>
        <v>0.29039999999999999</v>
      </c>
      <c r="C7" s="14"/>
      <c r="E7" s="7" t="s">
        <v>95</v>
      </c>
      <c r="F7" s="19">
        <f>B5</f>
        <v>21.6</v>
      </c>
      <c r="G7" s="16">
        <f>B7</f>
        <v>0.29039999999999999</v>
      </c>
    </row>
    <row r="8" spans="1:15">
      <c r="A8" t="s">
        <v>96</v>
      </c>
      <c r="B8" s="15">
        <f>-Protokoll!Q5*0.33</f>
        <v>-0.29039999999999999</v>
      </c>
      <c r="C8" s="14"/>
    </row>
    <row r="9" spans="1:15" ht="16.399999999999999">
      <c r="A9" s="17" t="s">
        <v>97</v>
      </c>
      <c r="B9" s="18">
        <f>Protokoll!$AC$5</f>
        <v>20</v>
      </c>
      <c r="C9" s="14"/>
    </row>
    <row r="10" spans="1:15" ht="16.399999999999999">
      <c r="A10" t="s">
        <v>98</v>
      </c>
      <c r="B10" s="14">
        <f>B3+0.03*B9</f>
        <v>20.200000000000003</v>
      </c>
      <c r="C10" s="14"/>
      <c r="I10" s="23"/>
    </row>
    <row r="11" spans="1:15" ht="16.399999999999999">
      <c r="A11" t="s">
        <v>99</v>
      </c>
      <c r="B11" s="14">
        <f>B4-0.03*B9</f>
        <v>20.399999999999999</v>
      </c>
      <c r="C11" s="14"/>
    </row>
    <row r="27" spans="21:21">
      <c r="U27" s="6"/>
    </row>
  </sheetData>
  <sheetProtection algorithmName="SHA-512" hashValue="AJv9CH4EuPTisFDa44rTiPFeIAtlL3kTy6oKUMbDcEVQuY0BLipOQaG+QvctKyxQ2L9TxfjkeVmhaEa6T9LLdA==" saltValue="SBTV2V+NxdzOV2wJAkWxjw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O269"/>
  <sheetViews>
    <sheetView zoomScale="85" zoomScaleNormal="85" workbookViewId="0">
      <selection activeCell="K223" sqref="K223"/>
    </sheetView>
  </sheetViews>
  <sheetFormatPr baseColWidth="10" defaultColWidth="11.44140625" defaultRowHeight="15.05"/>
  <cols>
    <col min="1" max="1" width="14.6640625" bestFit="1" customWidth="1"/>
    <col min="2" max="2" width="9.44140625" customWidth="1"/>
    <col min="3" max="3" width="12.6640625" bestFit="1" customWidth="1"/>
    <col min="5" max="6" width="9.109375" style="14" customWidth="1"/>
    <col min="7" max="7" width="13.44140625" style="14" bestFit="1" customWidth="1"/>
    <col min="8" max="8" width="13.33203125" customWidth="1"/>
    <col min="9" max="9" width="12.33203125" style="13" bestFit="1" customWidth="1"/>
    <col min="10" max="10" width="12.6640625" customWidth="1"/>
    <col min="11" max="11" width="12.6640625" style="13" customWidth="1"/>
  </cols>
  <sheetData>
    <row r="1" spans="1:15">
      <c r="C1" t="s">
        <v>100</v>
      </c>
      <c r="E1" s="14" t="s">
        <v>101</v>
      </c>
      <c r="G1" s="14" t="s">
        <v>102</v>
      </c>
      <c r="H1" t="s">
        <v>103</v>
      </c>
      <c r="I1" s="13" t="s">
        <v>104</v>
      </c>
      <c r="J1" t="s">
        <v>105</v>
      </c>
      <c r="K1" s="13" t="s">
        <v>106</v>
      </c>
      <c r="M1" t="s">
        <v>107</v>
      </c>
      <c r="N1" t="s">
        <v>108</v>
      </c>
      <c r="O1" t="s">
        <v>109</v>
      </c>
    </row>
    <row r="2" spans="1:15">
      <c r="A2" t="s">
        <v>110</v>
      </c>
      <c r="B2" s="15">
        <f>Protokoll!Q5</f>
        <v>0.88</v>
      </c>
      <c r="E2" s="14">
        <v>18.5</v>
      </c>
      <c r="F2" s="14">
        <f>E2/20*Protokoll!$AC$5</f>
        <v>18.5</v>
      </c>
      <c r="G2" s="14">
        <f>ROUND(F2,2)</f>
        <v>18.5</v>
      </c>
      <c r="I2" s="13">
        <f>I3</f>
        <v>-0.29040000000000071</v>
      </c>
      <c r="J2">
        <f>0.33*$B$2*((G2-$B$9)/$B$15)</f>
        <v>-1.21</v>
      </c>
      <c r="K2" s="13">
        <f>IF(G2&lt;=$B$10,
         IF(J2&lt;=$C$14,$C$14,J2),
                $C$10)</f>
        <v>-0.29039999999999999</v>
      </c>
      <c r="N2">
        <f>$B$3/$B$2*I2</f>
        <v>0</v>
      </c>
      <c r="O2">
        <f>$B$3/$B$2*K2</f>
        <v>0</v>
      </c>
    </row>
    <row r="3" spans="1:15">
      <c r="A3" t="s">
        <v>111</v>
      </c>
      <c r="B3" s="15">
        <v>0</v>
      </c>
      <c r="E3" s="14">
        <v>19</v>
      </c>
      <c r="F3" s="14">
        <f>E3/20*Protokoll!$AC$5</f>
        <v>19</v>
      </c>
      <c r="G3" s="14">
        <f t="shared" ref="G3:G66" si="0">ROUND(F3,2)</f>
        <v>19</v>
      </c>
      <c r="H3">
        <f>-0.33*$B$2*(($B$7-G3)/$B$15)</f>
        <v>-0.29040000000000071</v>
      </c>
      <c r="I3" s="13">
        <f>IF(H3&gt;=$C$13,$C$13,H3)</f>
        <v>-0.29040000000000071</v>
      </c>
      <c r="J3">
        <f>0.33*$B$2*((G3-$B$9)/$B$15)</f>
        <v>-0.96799999999999997</v>
      </c>
      <c r="K3" s="13">
        <f>IF(G3&lt;=$B$10,
         IF(J3&lt;=$C$14,$C$14,J3),
                $C$10)</f>
        <v>-0.29039999999999999</v>
      </c>
      <c r="M3">
        <f t="shared" ref="M3:M34" si="1">-0.3287*$B$2*(($B$9-G3)/$B$15)</f>
        <v>-0.96418666666666675</v>
      </c>
      <c r="N3">
        <f t="shared" ref="N3:N66" si="2">$B$3/$B$2*I3</f>
        <v>0</v>
      </c>
      <c r="O3">
        <f t="shared" ref="O3:O66" si="3">$B$3/$B$2*K3</f>
        <v>0</v>
      </c>
    </row>
    <row r="4" spans="1:15">
      <c r="E4" s="14">
        <v>19.010000000000002</v>
      </c>
      <c r="F4" s="14">
        <f>E4/20*Protokoll!$AC$5</f>
        <v>19.010000000000002</v>
      </c>
      <c r="G4" s="14">
        <f t="shared" si="0"/>
        <v>19.010000000000002</v>
      </c>
      <c r="H4">
        <f>-0.33*$B$2*(($B$7-G4)/$B$15)</f>
        <v>-0.28555999999999993</v>
      </c>
      <c r="I4" s="13">
        <f>IF(H4&gt;=$C$13,$C$13,H4)</f>
        <v>-0.28555999999999993</v>
      </c>
      <c r="J4">
        <f t="shared" ref="J4:J67" si="4">0.33*$B$2*((G4-$B$9)/$B$15)</f>
        <v>-0.96315999999999924</v>
      </c>
      <c r="K4" s="13">
        <f t="shared" ref="K4:K67" si="5">IF(G4&lt;=$B$10,
         IF(J4&lt;=$C$14,$C$14,J4),
                $C$10)</f>
        <v>-0.29039999999999999</v>
      </c>
      <c r="M4">
        <f t="shared" si="1"/>
        <v>-0.95936573333333264</v>
      </c>
      <c r="N4">
        <f t="shared" si="2"/>
        <v>0</v>
      </c>
      <c r="O4">
        <f t="shared" si="3"/>
        <v>0</v>
      </c>
    </row>
    <row r="5" spans="1:15">
      <c r="A5" t="s">
        <v>112</v>
      </c>
      <c r="B5" s="14">
        <f>Protokoll!AC5</f>
        <v>20</v>
      </c>
      <c r="E5" s="14">
        <v>19.02</v>
      </c>
      <c r="F5" s="14">
        <f>E5/20*Protokoll!$AC$5</f>
        <v>19.02</v>
      </c>
      <c r="G5" s="14">
        <f t="shared" si="0"/>
        <v>19.02</v>
      </c>
      <c r="H5">
        <f t="shared" ref="H5:H68" si="6">-0.33*$B$2*(($B$7-G5)/$B$15)</f>
        <v>-0.28072000000000091</v>
      </c>
      <c r="I5" s="13">
        <f t="shared" ref="I5:I66" si="7">IF(H5&gt;=$C$13,$C$13,H5)</f>
        <v>-0.28072000000000091</v>
      </c>
      <c r="J5">
        <f t="shared" si="4"/>
        <v>-0.95832000000000017</v>
      </c>
      <c r="K5" s="13">
        <f t="shared" si="5"/>
        <v>-0.29039999999999999</v>
      </c>
      <c r="M5">
        <f t="shared" si="1"/>
        <v>-0.9545448000000003</v>
      </c>
      <c r="N5">
        <f t="shared" si="2"/>
        <v>0</v>
      </c>
      <c r="O5">
        <f t="shared" si="3"/>
        <v>0</v>
      </c>
    </row>
    <row r="6" spans="1:15">
      <c r="A6" t="s">
        <v>113</v>
      </c>
      <c r="B6" s="14">
        <f>B5*0.95</f>
        <v>19</v>
      </c>
      <c r="C6" s="15">
        <f>-0.33*$B$2*(($B$7-B6)/$B$15)</f>
        <v>-0.29040000000000071</v>
      </c>
      <c r="E6" s="14">
        <v>19.03</v>
      </c>
      <c r="F6" s="14">
        <f>E6/20*Protokoll!$AC$5</f>
        <v>19.03</v>
      </c>
      <c r="G6" s="14">
        <f t="shared" si="0"/>
        <v>19.03</v>
      </c>
      <c r="H6">
        <f t="shared" si="6"/>
        <v>-0.27588000000000013</v>
      </c>
      <c r="I6" s="13">
        <f t="shared" si="7"/>
        <v>-0.27588000000000013</v>
      </c>
      <c r="J6">
        <f t="shared" si="4"/>
        <v>-0.95347999999999944</v>
      </c>
      <c r="K6" s="13">
        <f t="shared" si="5"/>
        <v>-0.29039999999999999</v>
      </c>
      <c r="M6">
        <f t="shared" si="1"/>
        <v>-0.94972386666666619</v>
      </c>
      <c r="N6">
        <f t="shared" si="2"/>
        <v>0</v>
      </c>
      <c r="O6">
        <f t="shared" si="3"/>
        <v>0</v>
      </c>
    </row>
    <row r="7" spans="1:15">
      <c r="A7" t="s">
        <v>114</v>
      </c>
      <c r="B7" s="14">
        <f>0.98*B5</f>
        <v>19.600000000000001</v>
      </c>
      <c r="C7">
        <v>0</v>
      </c>
      <c r="E7" s="14">
        <v>19.04</v>
      </c>
      <c r="F7" s="14">
        <f>E7/20*Protokoll!$AC$5</f>
        <v>19.04</v>
      </c>
      <c r="G7" s="14">
        <f t="shared" si="0"/>
        <v>19.04</v>
      </c>
      <c r="H7">
        <f t="shared" si="6"/>
        <v>-0.27104000000000111</v>
      </c>
      <c r="I7" s="13">
        <f t="shared" si="7"/>
        <v>-0.27104000000000111</v>
      </c>
      <c r="J7">
        <f t="shared" si="4"/>
        <v>-0.94864000000000048</v>
      </c>
      <c r="K7" s="13">
        <f t="shared" si="5"/>
        <v>-0.29039999999999999</v>
      </c>
      <c r="M7">
        <f t="shared" si="1"/>
        <v>-0.94490293333333386</v>
      </c>
      <c r="N7">
        <f t="shared" si="2"/>
        <v>0</v>
      </c>
      <c r="O7">
        <f t="shared" si="3"/>
        <v>0</v>
      </c>
    </row>
    <row r="8" spans="1:15">
      <c r="A8" t="s">
        <v>115</v>
      </c>
      <c r="B8" s="14">
        <f>B7+B15</f>
        <v>20.200000000000003</v>
      </c>
      <c r="C8" s="15">
        <f>-0.33*$B$2*(($B$7-B8)/$B$15)</f>
        <v>0.29040000000000071</v>
      </c>
      <c r="E8" s="14">
        <v>19.05</v>
      </c>
      <c r="F8" s="14">
        <f>E8/20*Protokoll!$AC$5</f>
        <v>19.05</v>
      </c>
      <c r="G8" s="14">
        <f t="shared" si="0"/>
        <v>19.05</v>
      </c>
      <c r="H8">
        <f t="shared" si="6"/>
        <v>-0.26620000000000033</v>
      </c>
      <c r="I8" s="13">
        <f t="shared" si="7"/>
        <v>-0.26620000000000033</v>
      </c>
      <c r="J8">
        <f t="shared" si="4"/>
        <v>-0.94379999999999975</v>
      </c>
      <c r="K8" s="13">
        <f t="shared" si="5"/>
        <v>-0.29039999999999999</v>
      </c>
      <c r="M8">
        <f t="shared" si="1"/>
        <v>-0.94008199999999975</v>
      </c>
      <c r="N8">
        <f t="shared" si="2"/>
        <v>0</v>
      </c>
      <c r="O8">
        <f t="shared" si="3"/>
        <v>0</v>
      </c>
    </row>
    <row r="9" spans="1:15">
      <c r="A9" t="s">
        <v>116</v>
      </c>
      <c r="B9">
        <f>B12-0.04*B5</f>
        <v>21</v>
      </c>
      <c r="C9">
        <v>0</v>
      </c>
      <c r="E9" s="14">
        <v>19.059999999999999</v>
      </c>
      <c r="F9" s="14">
        <f>E9/20*Protokoll!$AC$5</f>
        <v>19.059999999999999</v>
      </c>
      <c r="G9" s="14">
        <f t="shared" si="0"/>
        <v>19.059999999999999</v>
      </c>
      <c r="H9">
        <f t="shared" si="6"/>
        <v>-0.26136000000000131</v>
      </c>
      <c r="I9" s="13">
        <f t="shared" si="7"/>
        <v>-0.26136000000000131</v>
      </c>
      <c r="J9">
        <f t="shared" si="4"/>
        <v>-0.93896000000000068</v>
      </c>
      <c r="K9" s="13">
        <f t="shared" si="5"/>
        <v>-0.29039999999999999</v>
      </c>
      <c r="M9">
        <f t="shared" si="1"/>
        <v>-0.93526106666666742</v>
      </c>
      <c r="N9">
        <f t="shared" si="2"/>
        <v>0</v>
      </c>
      <c r="O9">
        <f t="shared" si="3"/>
        <v>0</v>
      </c>
    </row>
    <row r="10" spans="1:15">
      <c r="A10" t="s">
        <v>117</v>
      </c>
      <c r="B10">
        <f>B12-0.01*B5</f>
        <v>21.6</v>
      </c>
      <c r="C10" s="15">
        <f>0.33*$B$2*((B10-$B$9)/$B$15)</f>
        <v>0.29040000000000071</v>
      </c>
      <c r="E10" s="14">
        <v>19.07</v>
      </c>
      <c r="F10" s="14">
        <f>E10/20*Protokoll!$AC$5</f>
        <v>19.07</v>
      </c>
      <c r="G10" s="14">
        <f t="shared" si="0"/>
        <v>19.07</v>
      </c>
      <c r="H10">
        <f t="shared" si="6"/>
        <v>-0.25652000000000058</v>
      </c>
      <c r="I10" s="13">
        <f t="shared" si="7"/>
        <v>-0.25652000000000058</v>
      </c>
      <c r="J10">
        <f t="shared" si="4"/>
        <v>-0.93411999999999984</v>
      </c>
      <c r="K10" s="13">
        <f t="shared" si="5"/>
        <v>-0.29039999999999999</v>
      </c>
      <c r="M10">
        <f t="shared" si="1"/>
        <v>-0.93044013333333331</v>
      </c>
      <c r="N10">
        <f t="shared" si="2"/>
        <v>0</v>
      </c>
      <c r="O10">
        <f t="shared" si="3"/>
        <v>0</v>
      </c>
    </row>
    <row r="11" spans="1:15">
      <c r="A11" t="s">
        <v>118</v>
      </c>
      <c r="B11">
        <f>B9-B15</f>
        <v>20.399999999999999</v>
      </c>
      <c r="C11" s="15">
        <f>0.33*$B$2*((B11-$B$9)/$B$15)</f>
        <v>-0.29040000000000071</v>
      </c>
      <c r="E11" s="14">
        <v>19.079999999999998</v>
      </c>
      <c r="F11" s="14">
        <f>E11/20*Protokoll!$AC$5</f>
        <v>19.079999999999998</v>
      </c>
      <c r="G11" s="14">
        <f t="shared" si="0"/>
        <v>19.079999999999998</v>
      </c>
      <c r="H11">
        <f t="shared" si="6"/>
        <v>-0.25168000000000151</v>
      </c>
      <c r="I11" s="13">
        <f t="shared" si="7"/>
        <v>-0.25168000000000151</v>
      </c>
      <c r="J11">
        <f t="shared" si="4"/>
        <v>-0.92928000000000077</v>
      </c>
      <c r="K11" s="13">
        <f t="shared" si="5"/>
        <v>-0.29039999999999999</v>
      </c>
      <c r="M11">
        <f t="shared" si="1"/>
        <v>-0.92561920000000086</v>
      </c>
      <c r="N11">
        <f t="shared" si="2"/>
        <v>0</v>
      </c>
      <c r="O11">
        <f t="shared" si="3"/>
        <v>0</v>
      </c>
    </row>
    <row r="12" spans="1:15">
      <c r="A12" t="s">
        <v>119</v>
      </c>
      <c r="B12" t="str">
        <f>LEFT(Protokoll!AC6,4)</f>
        <v>21,8</v>
      </c>
      <c r="E12" s="14">
        <v>19.09</v>
      </c>
      <c r="F12" s="14">
        <f>E12/20*Protokoll!$AC$5</f>
        <v>19.09</v>
      </c>
      <c r="G12" s="14">
        <f t="shared" si="0"/>
        <v>19.09</v>
      </c>
      <c r="H12">
        <f t="shared" si="6"/>
        <v>-0.24684000000000075</v>
      </c>
      <c r="I12" s="13">
        <f t="shared" si="7"/>
        <v>-0.24684000000000075</v>
      </c>
      <c r="J12">
        <f t="shared" si="4"/>
        <v>-0.92444000000000004</v>
      </c>
      <c r="K12" s="13">
        <f t="shared" si="5"/>
        <v>-0.29039999999999999</v>
      </c>
      <c r="M12">
        <f t="shared" si="1"/>
        <v>-0.92079826666666675</v>
      </c>
      <c r="N12">
        <f t="shared" si="2"/>
        <v>0</v>
      </c>
      <c r="O12">
        <f t="shared" si="3"/>
        <v>0</v>
      </c>
    </row>
    <row r="13" spans="1:15">
      <c r="A13" t="s">
        <v>94</v>
      </c>
      <c r="C13" s="15">
        <f>(0.33*$B$2)</f>
        <v>0.29039999999999999</v>
      </c>
      <c r="E13" s="14">
        <v>19.100000000000001</v>
      </c>
      <c r="F13" s="14">
        <f>E13/20*Protokoll!$AC$5</f>
        <v>19.100000000000001</v>
      </c>
      <c r="G13" s="14">
        <f t="shared" si="0"/>
        <v>19.100000000000001</v>
      </c>
      <c r="H13">
        <f t="shared" si="6"/>
        <v>-0.24199999999999999</v>
      </c>
      <c r="I13" s="13">
        <f t="shared" si="7"/>
        <v>-0.24199999999999999</v>
      </c>
      <c r="J13">
        <f t="shared" si="4"/>
        <v>-0.91959999999999931</v>
      </c>
      <c r="K13" s="13">
        <f t="shared" si="5"/>
        <v>-0.29039999999999999</v>
      </c>
      <c r="M13">
        <f t="shared" si="1"/>
        <v>-0.91597733333333264</v>
      </c>
      <c r="N13">
        <f t="shared" si="2"/>
        <v>0</v>
      </c>
      <c r="O13">
        <f t="shared" si="3"/>
        <v>0</v>
      </c>
    </row>
    <row r="14" spans="1:15">
      <c r="A14" t="s">
        <v>96</v>
      </c>
      <c r="C14" s="15">
        <f>-(0.33*$B$2)</f>
        <v>-0.29039999999999999</v>
      </c>
      <c r="E14" s="14">
        <v>19.11</v>
      </c>
      <c r="F14" s="14">
        <f>E14/20*Protokoll!$AC$5</f>
        <v>19.11</v>
      </c>
      <c r="G14" s="14">
        <f t="shared" si="0"/>
        <v>19.11</v>
      </c>
      <c r="H14">
        <f t="shared" si="6"/>
        <v>-0.23716000000000095</v>
      </c>
      <c r="I14" s="13">
        <f t="shared" si="7"/>
        <v>-0.23716000000000095</v>
      </c>
      <c r="J14">
        <f t="shared" si="4"/>
        <v>-0.91476000000000035</v>
      </c>
      <c r="K14" s="13">
        <f t="shared" si="5"/>
        <v>-0.29039999999999999</v>
      </c>
      <c r="M14">
        <f t="shared" si="1"/>
        <v>-0.91115640000000042</v>
      </c>
      <c r="N14">
        <f t="shared" si="2"/>
        <v>0</v>
      </c>
      <c r="O14">
        <f t="shared" si="3"/>
        <v>0</v>
      </c>
    </row>
    <row r="15" spans="1:15">
      <c r="A15" t="s">
        <v>120</v>
      </c>
      <c r="B15" s="14">
        <f>0.03*B5</f>
        <v>0.6</v>
      </c>
      <c r="E15" s="14">
        <v>19.12</v>
      </c>
      <c r="F15" s="14">
        <f>E15/20*Protokoll!$AC$5</f>
        <v>19.12</v>
      </c>
      <c r="G15" s="14">
        <f t="shared" si="0"/>
        <v>19.12</v>
      </c>
      <c r="H15">
        <f t="shared" si="6"/>
        <v>-0.23232000000000019</v>
      </c>
      <c r="I15" s="13">
        <f t="shared" si="7"/>
        <v>-0.23232000000000019</v>
      </c>
      <c r="J15">
        <f t="shared" si="4"/>
        <v>-0.90991999999999962</v>
      </c>
      <c r="K15" s="13">
        <f t="shared" si="5"/>
        <v>-0.29039999999999999</v>
      </c>
      <c r="M15">
        <f t="shared" si="1"/>
        <v>-0.90633546666666631</v>
      </c>
      <c r="N15">
        <f t="shared" si="2"/>
        <v>0</v>
      </c>
      <c r="O15">
        <f t="shared" si="3"/>
        <v>0</v>
      </c>
    </row>
    <row r="16" spans="1:15">
      <c r="E16" s="14">
        <v>19.13</v>
      </c>
      <c r="F16" s="14">
        <f>E16/20*Protokoll!$AC$5</f>
        <v>19.13</v>
      </c>
      <c r="G16" s="14">
        <f t="shared" si="0"/>
        <v>19.13</v>
      </c>
      <c r="H16">
        <f t="shared" si="6"/>
        <v>-0.22748000000000118</v>
      </c>
      <c r="I16" s="13">
        <f t="shared" si="7"/>
        <v>-0.22748000000000118</v>
      </c>
      <c r="J16">
        <f t="shared" si="4"/>
        <v>-0.90508000000000055</v>
      </c>
      <c r="K16" s="13">
        <f t="shared" si="5"/>
        <v>-0.29039999999999999</v>
      </c>
      <c r="M16">
        <f t="shared" si="1"/>
        <v>-0.90151453333333387</v>
      </c>
      <c r="N16">
        <f t="shared" si="2"/>
        <v>0</v>
      </c>
      <c r="O16">
        <f t="shared" si="3"/>
        <v>0</v>
      </c>
    </row>
    <row r="17" spans="1:15">
      <c r="E17" s="14">
        <v>19.14</v>
      </c>
      <c r="F17" s="14">
        <f>E17/20*Protokoll!$AC$5</f>
        <v>19.14</v>
      </c>
      <c r="G17" s="14">
        <f t="shared" si="0"/>
        <v>19.14</v>
      </c>
      <c r="H17">
        <f t="shared" si="6"/>
        <v>-0.22264000000000042</v>
      </c>
      <c r="I17" s="13">
        <f t="shared" si="7"/>
        <v>-0.22264000000000042</v>
      </c>
      <c r="J17">
        <f t="shared" si="4"/>
        <v>-0.90023999999999971</v>
      </c>
      <c r="K17" s="13">
        <f t="shared" si="5"/>
        <v>-0.29039999999999999</v>
      </c>
      <c r="M17">
        <f t="shared" si="1"/>
        <v>-0.89669359999999976</v>
      </c>
      <c r="N17">
        <f t="shared" si="2"/>
        <v>0</v>
      </c>
      <c r="O17">
        <f t="shared" si="3"/>
        <v>0</v>
      </c>
    </row>
    <row r="18" spans="1:15">
      <c r="E18" s="14">
        <v>19.149999999999999</v>
      </c>
      <c r="F18" s="14">
        <f>E18/20*Protokoll!$AC$5</f>
        <v>19.149999999999999</v>
      </c>
      <c r="G18" s="14">
        <f t="shared" si="0"/>
        <v>19.149999999999999</v>
      </c>
      <c r="H18">
        <f t="shared" si="6"/>
        <v>-0.21780000000000138</v>
      </c>
      <c r="I18" s="13">
        <f t="shared" si="7"/>
        <v>-0.21780000000000138</v>
      </c>
      <c r="J18">
        <f t="shared" si="4"/>
        <v>-0.89540000000000064</v>
      </c>
      <c r="K18" s="13">
        <f t="shared" si="5"/>
        <v>-0.29039999999999999</v>
      </c>
      <c r="M18">
        <f t="shared" si="1"/>
        <v>-0.89187266666666742</v>
      </c>
      <c r="N18">
        <f t="shared" si="2"/>
        <v>0</v>
      </c>
      <c r="O18">
        <f t="shared" si="3"/>
        <v>0</v>
      </c>
    </row>
    <row r="19" spans="1:15">
      <c r="E19" s="14">
        <v>19.16</v>
      </c>
      <c r="F19" s="14">
        <f>E19/20*Protokoll!$AC$5</f>
        <v>19.16</v>
      </c>
      <c r="G19" s="14">
        <f t="shared" si="0"/>
        <v>19.16</v>
      </c>
      <c r="H19">
        <f t="shared" si="6"/>
        <v>-0.21296000000000062</v>
      </c>
      <c r="I19" s="13">
        <f t="shared" si="7"/>
        <v>-0.21296000000000062</v>
      </c>
      <c r="J19">
        <f t="shared" si="4"/>
        <v>-0.89055999999999991</v>
      </c>
      <c r="K19" s="13">
        <f t="shared" si="5"/>
        <v>-0.29039999999999999</v>
      </c>
      <c r="M19">
        <f t="shared" si="1"/>
        <v>-0.88705173333333331</v>
      </c>
      <c r="N19">
        <f t="shared" si="2"/>
        <v>0</v>
      </c>
      <c r="O19">
        <f t="shared" si="3"/>
        <v>0</v>
      </c>
    </row>
    <row r="20" spans="1:15">
      <c r="A20" t="s">
        <v>121</v>
      </c>
      <c r="B20" s="14">
        <f>ROUND(Protokoll!Y27,2)</f>
        <v>20.399999999999999</v>
      </c>
      <c r="C20" s="15">
        <f>VLOOKUP(B20,G:M,5,FALSE)</f>
        <v>-0.29039999999999999</v>
      </c>
      <c r="D20">
        <f>IF(B20&lt;$B$7,VLOOKUP(B20,G:M,3,FALSE),C20)</f>
        <v>-0.29039999999999999</v>
      </c>
      <c r="E20" s="14">
        <v>19.170000000000002</v>
      </c>
      <c r="F20" s="14">
        <f>E20/20*Protokoll!$AC$5</f>
        <v>19.170000000000002</v>
      </c>
      <c r="G20" s="14">
        <f t="shared" si="0"/>
        <v>19.170000000000002</v>
      </c>
      <c r="H20">
        <f t="shared" si="6"/>
        <v>-0.20811999999999986</v>
      </c>
      <c r="I20" s="13">
        <f t="shared" si="7"/>
        <v>-0.20811999999999986</v>
      </c>
      <c r="J20">
        <f t="shared" si="4"/>
        <v>-0.88571999999999917</v>
      </c>
      <c r="K20" s="13">
        <f t="shared" si="5"/>
        <v>-0.29039999999999999</v>
      </c>
      <c r="M20">
        <f t="shared" si="1"/>
        <v>-0.8822307999999992</v>
      </c>
      <c r="N20">
        <f t="shared" si="2"/>
        <v>0</v>
      </c>
      <c r="O20">
        <f t="shared" si="3"/>
        <v>0</v>
      </c>
    </row>
    <row r="21" spans="1:15">
      <c r="A21" t="s">
        <v>122</v>
      </c>
      <c r="B21" s="14">
        <f>ROUND(Protokoll!Y28,2)</f>
        <v>20.6</v>
      </c>
      <c r="C21" s="15">
        <f>VLOOKUP(B21,G:M,5,FALSE)</f>
        <v>-0.1935999999999993</v>
      </c>
      <c r="D21">
        <f>IF(B21&lt;$B$7,VLOOKUP(B21,G:M,3,FALSE),C21)</f>
        <v>-0.1935999999999993</v>
      </c>
      <c r="E21" s="14">
        <v>19.18</v>
      </c>
      <c r="F21" s="14">
        <f>E21/20*Protokoll!$AC$5</f>
        <v>19.18</v>
      </c>
      <c r="G21" s="14">
        <f t="shared" si="0"/>
        <v>19.18</v>
      </c>
      <c r="H21">
        <f t="shared" si="6"/>
        <v>-0.20328000000000082</v>
      </c>
      <c r="I21" s="13">
        <f t="shared" si="7"/>
        <v>-0.20328000000000082</v>
      </c>
      <c r="J21">
        <f t="shared" si="4"/>
        <v>-0.88088000000000022</v>
      </c>
      <c r="K21" s="13">
        <f t="shared" si="5"/>
        <v>-0.29039999999999999</v>
      </c>
      <c r="M21">
        <f t="shared" si="1"/>
        <v>-0.87740986666666698</v>
      </c>
      <c r="N21">
        <f t="shared" si="2"/>
        <v>0</v>
      </c>
      <c r="O21">
        <f t="shared" si="3"/>
        <v>0</v>
      </c>
    </row>
    <row r="22" spans="1:15">
      <c r="A22" t="s">
        <v>123</v>
      </c>
      <c r="B22" s="14">
        <f>ROUND(Protokoll!Y29,2)</f>
        <v>20.2</v>
      </c>
      <c r="C22" s="15">
        <f>VLOOKUP(B22,G:M,3,FALSE)</f>
        <v>0.29039999999999894</v>
      </c>
      <c r="D22">
        <f>IF(B22&gt;$B$9,VLOOKUP(B22,G:M,5,FALSE),C22)</f>
        <v>0.29039999999999894</v>
      </c>
      <c r="E22" s="14">
        <v>19.190000000000001</v>
      </c>
      <c r="F22" s="14">
        <f>E22/20*Protokoll!$AC$5</f>
        <v>19.190000000000001</v>
      </c>
      <c r="G22" s="14">
        <f t="shared" si="0"/>
        <v>19.190000000000001</v>
      </c>
      <c r="H22">
        <f t="shared" si="6"/>
        <v>-0.19844000000000006</v>
      </c>
      <c r="I22" s="13">
        <f t="shared" si="7"/>
        <v>-0.19844000000000006</v>
      </c>
      <c r="J22">
        <f t="shared" si="4"/>
        <v>-0.87603999999999949</v>
      </c>
      <c r="K22" s="13">
        <f t="shared" si="5"/>
        <v>-0.29039999999999999</v>
      </c>
      <c r="M22">
        <f t="shared" si="1"/>
        <v>-0.87258893333333287</v>
      </c>
      <c r="N22">
        <f t="shared" si="2"/>
        <v>0</v>
      </c>
      <c r="O22">
        <f t="shared" si="3"/>
        <v>0</v>
      </c>
    </row>
    <row r="23" spans="1:15">
      <c r="A23" t="s">
        <v>124</v>
      </c>
      <c r="B23" s="14">
        <f>ROUND(Protokoll!Y30,2)</f>
        <v>20.3</v>
      </c>
      <c r="C23" s="15">
        <f>VLOOKUP(B23,G:M,3,FALSE)</f>
        <v>0.29039999999999999</v>
      </c>
      <c r="D23">
        <f>IF(B23&gt;$B$9,VLOOKUP(B23,G:M,5,FALSE),C23)</f>
        <v>0.29039999999999999</v>
      </c>
      <c r="E23" s="14">
        <v>19.2</v>
      </c>
      <c r="F23" s="14">
        <f>E23/20*Protokoll!$AC$5</f>
        <v>19.2</v>
      </c>
      <c r="G23" s="14">
        <f t="shared" si="0"/>
        <v>19.2</v>
      </c>
      <c r="H23">
        <f t="shared" si="6"/>
        <v>-0.19360000000000105</v>
      </c>
      <c r="I23" s="13">
        <f t="shared" si="7"/>
        <v>-0.19360000000000105</v>
      </c>
      <c r="J23">
        <f t="shared" si="4"/>
        <v>-0.87120000000000031</v>
      </c>
      <c r="K23" s="13">
        <f t="shared" si="5"/>
        <v>-0.29039999999999999</v>
      </c>
      <c r="M23">
        <f t="shared" si="1"/>
        <v>-0.86776800000000043</v>
      </c>
      <c r="N23">
        <f t="shared" si="2"/>
        <v>0</v>
      </c>
      <c r="O23">
        <f t="shared" si="3"/>
        <v>0</v>
      </c>
    </row>
    <row r="24" spans="1:15">
      <c r="A24" t="s">
        <v>154</v>
      </c>
      <c r="B24" s="14">
        <f>ROUND(Protokoll!Y31,2)</f>
        <v>20.2</v>
      </c>
      <c r="C24" s="15">
        <f>VLOOKUP(B24,G:M,3,FALSE)</f>
        <v>0.29039999999999894</v>
      </c>
      <c r="D24">
        <f>IF(B24&gt;$B$9,VLOOKUP(B24,G:M,5,FALSE),C24)</f>
        <v>0.29039999999999894</v>
      </c>
      <c r="E24" s="14">
        <v>19.21</v>
      </c>
      <c r="F24" s="14">
        <f>E24/20*Protokoll!$AC$5</f>
        <v>19.21</v>
      </c>
      <c r="G24" s="14">
        <f t="shared" si="0"/>
        <v>19.21</v>
      </c>
      <c r="H24">
        <f t="shared" si="6"/>
        <v>-0.18876000000000029</v>
      </c>
      <c r="I24" s="13">
        <f t="shared" si="7"/>
        <v>-0.18876000000000029</v>
      </c>
      <c r="J24">
        <f t="shared" si="4"/>
        <v>-0.86635999999999957</v>
      </c>
      <c r="K24" s="13">
        <f t="shared" si="5"/>
        <v>-0.29039999999999999</v>
      </c>
      <c r="M24">
        <f t="shared" si="1"/>
        <v>-0.86294706666666632</v>
      </c>
      <c r="N24">
        <f t="shared" si="2"/>
        <v>0</v>
      </c>
      <c r="O24">
        <f t="shared" si="3"/>
        <v>0</v>
      </c>
    </row>
    <row r="25" spans="1:15">
      <c r="E25" s="14">
        <v>19.22</v>
      </c>
      <c r="F25" s="14">
        <f>E25/20*Protokoll!$AC$5</f>
        <v>19.22</v>
      </c>
      <c r="G25" s="14">
        <f t="shared" si="0"/>
        <v>19.22</v>
      </c>
      <c r="H25">
        <f t="shared" si="6"/>
        <v>-0.18392000000000125</v>
      </c>
      <c r="I25" s="13">
        <f t="shared" si="7"/>
        <v>-0.18392000000000125</v>
      </c>
      <c r="J25">
        <f t="shared" si="4"/>
        <v>-0.86152000000000051</v>
      </c>
      <c r="K25" s="13">
        <f t="shared" si="5"/>
        <v>-0.29039999999999999</v>
      </c>
      <c r="M25">
        <f t="shared" si="1"/>
        <v>-0.85812613333333387</v>
      </c>
      <c r="N25">
        <f t="shared" si="2"/>
        <v>0</v>
      </c>
      <c r="O25">
        <f t="shared" si="3"/>
        <v>0</v>
      </c>
    </row>
    <row r="26" spans="1:15">
      <c r="E26" s="14">
        <v>19.23</v>
      </c>
      <c r="F26" s="14">
        <f>E26/20*Protokoll!$AC$5</f>
        <v>19.23</v>
      </c>
      <c r="G26" s="14">
        <f t="shared" si="0"/>
        <v>19.23</v>
      </c>
      <c r="H26">
        <f t="shared" si="6"/>
        <v>-0.17908000000000049</v>
      </c>
      <c r="I26" s="13">
        <f t="shared" si="7"/>
        <v>-0.17908000000000049</v>
      </c>
      <c r="J26">
        <f t="shared" si="4"/>
        <v>-0.85667999999999978</v>
      </c>
      <c r="K26" s="13">
        <f t="shared" si="5"/>
        <v>-0.29039999999999999</v>
      </c>
      <c r="M26">
        <f t="shared" si="1"/>
        <v>-0.85330519999999987</v>
      </c>
      <c r="N26">
        <f t="shared" si="2"/>
        <v>0</v>
      </c>
      <c r="O26">
        <f t="shared" si="3"/>
        <v>0</v>
      </c>
    </row>
    <row r="27" spans="1:15">
      <c r="A27" t="s">
        <v>125</v>
      </c>
      <c r="B27" s="14">
        <f>ROUND(Protokoll!M27,2)</f>
        <v>20.3</v>
      </c>
      <c r="C27" s="15">
        <f>VLOOKUP(B27,G:M,5,FALSE)</f>
        <v>-0.29039999999999999</v>
      </c>
      <c r="E27" s="14">
        <v>19.239999999999998</v>
      </c>
      <c r="F27" s="14">
        <f>E27/20*Protokoll!$AC$5</f>
        <v>19.239999999999998</v>
      </c>
      <c r="G27" s="14">
        <f t="shared" si="0"/>
        <v>19.239999999999998</v>
      </c>
      <c r="H27">
        <f t="shared" si="6"/>
        <v>-0.17424000000000145</v>
      </c>
      <c r="I27" s="13">
        <f t="shared" si="7"/>
        <v>-0.17424000000000145</v>
      </c>
      <c r="J27">
        <f t="shared" si="4"/>
        <v>-0.85184000000000082</v>
      </c>
      <c r="K27" s="13">
        <f t="shared" si="5"/>
        <v>-0.29039999999999999</v>
      </c>
      <c r="M27">
        <f t="shared" si="1"/>
        <v>-0.84848426666666754</v>
      </c>
      <c r="N27">
        <f t="shared" si="2"/>
        <v>0</v>
      </c>
      <c r="O27">
        <f t="shared" si="3"/>
        <v>0</v>
      </c>
    </row>
    <row r="28" spans="1:15">
      <c r="A28" t="s">
        <v>126</v>
      </c>
      <c r="B28" s="14">
        <f>ROUND(Protokoll!M28,2)</f>
        <v>20.399999999999999</v>
      </c>
      <c r="C28" s="15">
        <f>VLOOKUP(B28,G:M,5,FALSE)</f>
        <v>-0.29039999999999999</v>
      </c>
      <c r="E28" s="14">
        <v>19.25</v>
      </c>
      <c r="F28" s="14">
        <f>E28/20*Protokoll!$AC$5</f>
        <v>19.25</v>
      </c>
      <c r="G28" s="14">
        <f t="shared" si="0"/>
        <v>19.25</v>
      </c>
      <c r="H28">
        <f t="shared" si="6"/>
        <v>-0.16940000000000069</v>
      </c>
      <c r="I28" s="13">
        <f t="shared" si="7"/>
        <v>-0.16940000000000069</v>
      </c>
      <c r="J28">
        <f t="shared" si="4"/>
        <v>-0.84700000000000009</v>
      </c>
      <c r="K28" s="13">
        <f t="shared" si="5"/>
        <v>-0.29039999999999999</v>
      </c>
      <c r="M28">
        <f t="shared" si="1"/>
        <v>-0.84366333333333343</v>
      </c>
      <c r="N28">
        <f t="shared" si="2"/>
        <v>0</v>
      </c>
      <c r="O28">
        <f t="shared" si="3"/>
        <v>0</v>
      </c>
    </row>
    <row r="29" spans="1:15">
      <c r="A29" t="s">
        <v>127</v>
      </c>
      <c r="B29" s="14">
        <f>ROUND(Protokoll!M29,2)</f>
        <v>20.5</v>
      </c>
      <c r="C29" s="15">
        <f>VLOOKUP(B29,G:M,3,FALSE)</f>
        <v>0.29039999999999999</v>
      </c>
      <c r="E29" s="14">
        <v>19.260000000000002</v>
      </c>
      <c r="F29" s="14">
        <f>E29/20*Protokoll!$AC$5</f>
        <v>19.260000000000002</v>
      </c>
      <c r="G29" s="14">
        <f t="shared" si="0"/>
        <v>19.260000000000002</v>
      </c>
      <c r="H29">
        <f t="shared" si="6"/>
        <v>-0.16455999999999993</v>
      </c>
      <c r="I29" s="13">
        <f t="shared" si="7"/>
        <v>-0.16455999999999993</v>
      </c>
      <c r="J29">
        <f t="shared" si="4"/>
        <v>-0.84215999999999935</v>
      </c>
      <c r="K29" s="13">
        <f t="shared" si="5"/>
        <v>-0.29039999999999999</v>
      </c>
      <c r="M29">
        <f t="shared" si="1"/>
        <v>-0.83884239999999932</v>
      </c>
      <c r="N29">
        <f t="shared" si="2"/>
        <v>0</v>
      </c>
      <c r="O29">
        <f t="shared" si="3"/>
        <v>0</v>
      </c>
    </row>
    <row r="30" spans="1:15">
      <c r="A30" t="s">
        <v>128</v>
      </c>
      <c r="B30" s="14">
        <f>ROUND(Protokoll!M30,2)</f>
        <v>20.2</v>
      </c>
      <c r="C30" s="15">
        <f>VLOOKUP(B30,G:M,3,FALSE)</f>
        <v>0.29039999999999894</v>
      </c>
      <c r="E30" s="14">
        <v>19.2699999999999</v>
      </c>
      <c r="F30" s="14">
        <f>E30/20*Protokoll!$AC$5</f>
        <v>19.2699999999999</v>
      </c>
      <c r="G30" s="14">
        <f t="shared" si="0"/>
        <v>19.27</v>
      </c>
      <c r="H30">
        <f t="shared" si="6"/>
        <v>-0.15972000000000092</v>
      </c>
      <c r="I30" s="13">
        <f t="shared" si="7"/>
        <v>-0.15972000000000092</v>
      </c>
      <c r="J30">
        <f t="shared" si="4"/>
        <v>-0.83732000000000018</v>
      </c>
      <c r="K30" s="13">
        <f t="shared" si="5"/>
        <v>-0.29039999999999999</v>
      </c>
      <c r="M30">
        <f t="shared" si="1"/>
        <v>-0.83402146666666699</v>
      </c>
      <c r="N30">
        <f t="shared" si="2"/>
        <v>0</v>
      </c>
      <c r="O30">
        <f t="shared" si="3"/>
        <v>0</v>
      </c>
    </row>
    <row r="31" spans="1:15">
      <c r="E31" s="14">
        <v>19.279999999999902</v>
      </c>
      <c r="F31" s="14">
        <f>E31/20*Protokoll!$AC$5</f>
        <v>19.279999999999902</v>
      </c>
      <c r="G31" s="14">
        <f t="shared" si="0"/>
        <v>19.28</v>
      </c>
      <c r="H31">
        <f t="shared" si="6"/>
        <v>-0.15488000000000016</v>
      </c>
      <c r="I31" s="13">
        <f t="shared" si="7"/>
        <v>-0.15488000000000016</v>
      </c>
      <c r="J31">
        <f t="shared" si="4"/>
        <v>-0.83247999999999944</v>
      </c>
      <c r="K31" s="13">
        <f t="shared" si="5"/>
        <v>-0.29039999999999999</v>
      </c>
      <c r="M31">
        <f t="shared" si="1"/>
        <v>-0.82920053333333288</v>
      </c>
      <c r="N31">
        <f t="shared" si="2"/>
        <v>0</v>
      </c>
      <c r="O31">
        <f t="shared" si="3"/>
        <v>0</v>
      </c>
    </row>
    <row r="32" spans="1:15">
      <c r="E32" s="14">
        <v>19.2899999999999</v>
      </c>
      <c r="F32" s="14">
        <f>E32/20*Protokoll!$AC$5</f>
        <v>19.2899999999999</v>
      </c>
      <c r="G32" s="14">
        <f t="shared" si="0"/>
        <v>19.29</v>
      </c>
      <c r="H32">
        <f t="shared" si="6"/>
        <v>-0.15004000000000112</v>
      </c>
      <c r="I32" s="13">
        <f t="shared" si="7"/>
        <v>-0.15004000000000112</v>
      </c>
      <c r="J32">
        <f t="shared" si="4"/>
        <v>-0.82764000000000038</v>
      </c>
      <c r="K32" s="13">
        <f t="shared" si="5"/>
        <v>-0.29039999999999999</v>
      </c>
      <c r="M32">
        <f t="shared" si="1"/>
        <v>-0.82437960000000043</v>
      </c>
      <c r="N32">
        <f t="shared" si="2"/>
        <v>0</v>
      </c>
      <c r="O32">
        <f t="shared" si="3"/>
        <v>0</v>
      </c>
    </row>
    <row r="33" spans="5:15">
      <c r="E33" s="14">
        <v>19.299999999999901</v>
      </c>
      <c r="F33" s="14">
        <f>E33/20*Protokoll!$AC$5</f>
        <v>19.299999999999901</v>
      </c>
      <c r="G33" s="14">
        <f t="shared" si="0"/>
        <v>19.3</v>
      </c>
      <c r="H33">
        <f t="shared" si="6"/>
        <v>-0.14520000000000036</v>
      </c>
      <c r="I33" s="13">
        <f t="shared" si="7"/>
        <v>-0.14520000000000036</v>
      </c>
      <c r="J33">
        <f t="shared" si="4"/>
        <v>-0.82279999999999964</v>
      </c>
      <c r="K33" s="13">
        <f t="shared" si="5"/>
        <v>-0.29039999999999999</v>
      </c>
      <c r="M33">
        <f t="shared" si="1"/>
        <v>-0.81955866666666632</v>
      </c>
      <c r="N33">
        <f t="shared" si="2"/>
        <v>0</v>
      </c>
      <c r="O33">
        <f t="shared" si="3"/>
        <v>0</v>
      </c>
    </row>
    <row r="34" spans="5:15">
      <c r="E34" s="14">
        <v>19.309999999999899</v>
      </c>
      <c r="F34" s="14">
        <f>E34/20*Protokoll!$AC$5</f>
        <v>19.309999999999899</v>
      </c>
      <c r="G34" s="14">
        <f t="shared" si="0"/>
        <v>19.309999999999999</v>
      </c>
      <c r="H34">
        <f t="shared" si="6"/>
        <v>-0.14036000000000129</v>
      </c>
      <c r="I34" s="13">
        <f t="shared" si="7"/>
        <v>-0.14036000000000129</v>
      </c>
      <c r="J34">
        <f t="shared" si="4"/>
        <v>-0.81796000000000069</v>
      </c>
      <c r="K34" s="13">
        <f t="shared" si="5"/>
        <v>-0.29039999999999999</v>
      </c>
      <c r="M34">
        <f t="shared" si="1"/>
        <v>-0.8147377333333341</v>
      </c>
      <c r="N34">
        <f t="shared" si="2"/>
        <v>0</v>
      </c>
      <c r="O34">
        <f t="shared" si="3"/>
        <v>0</v>
      </c>
    </row>
    <row r="35" spans="5:15">
      <c r="E35" s="14">
        <v>19.319999999999901</v>
      </c>
      <c r="F35" s="14">
        <f>E35/20*Protokoll!$AC$5</f>
        <v>19.319999999999901</v>
      </c>
      <c r="G35" s="14">
        <f t="shared" si="0"/>
        <v>19.32</v>
      </c>
      <c r="H35">
        <f t="shared" si="6"/>
        <v>-0.13552000000000056</v>
      </c>
      <c r="I35" s="13">
        <f t="shared" si="7"/>
        <v>-0.13552000000000056</v>
      </c>
      <c r="J35">
        <f t="shared" si="4"/>
        <v>-0.81311999999999995</v>
      </c>
      <c r="K35" s="13">
        <f t="shared" si="5"/>
        <v>-0.29039999999999999</v>
      </c>
      <c r="M35">
        <f t="shared" ref="M35:M66" si="8">-0.3287*$B$2*(($B$9-G35)/$B$15)</f>
        <v>-0.80991679999999999</v>
      </c>
      <c r="N35">
        <f t="shared" si="2"/>
        <v>0</v>
      </c>
      <c r="O35">
        <f t="shared" si="3"/>
        <v>0</v>
      </c>
    </row>
    <row r="36" spans="5:15">
      <c r="E36" s="14">
        <v>19.329999999999899</v>
      </c>
      <c r="F36" s="14">
        <f>E36/20*Protokoll!$AC$5</f>
        <v>19.329999999999899</v>
      </c>
      <c r="G36" s="14">
        <f t="shared" si="0"/>
        <v>19.329999999999998</v>
      </c>
      <c r="H36">
        <f t="shared" si="6"/>
        <v>-0.13068000000000152</v>
      </c>
      <c r="I36" s="13">
        <f t="shared" si="7"/>
        <v>-0.13068000000000152</v>
      </c>
      <c r="J36">
        <f t="shared" si="4"/>
        <v>-0.80828000000000089</v>
      </c>
      <c r="K36" s="13">
        <f t="shared" si="5"/>
        <v>-0.29039999999999999</v>
      </c>
      <c r="M36">
        <f t="shared" si="8"/>
        <v>-0.80509586666666755</v>
      </c>
      <c r="N36">
        <f t="shared" si="2"/>
        <v>0</v>
      </c>
      <c r="O36">
        <f t="shared" si="3"/>
        <v>0</v>
      </c>
    </row>
    <row r="37" spans="5:15">
      <c r="E37" s="14">
        <v>19.3399999999999</v>
      </c>
      <c r="F37" s="14">
        <f>E37/20*Protokoll!$AC$5</f>
        <v>19.3399999999999</v>
      </c>
      <c r="G37" s="14">
        <f t="shared" si="0"/>
        <v>19.34</v>
      </c>
      <c r="H37">
        <f t="shared" si="6"/>
        <v>-0.12584000000000076</v>
      </c>
      <c r="I37" s="13">
        <f t="shared" si="7"/>
        <v>-0.12584000000000076</v>
      </c>
      <c r="J37">
        <f t="shared" si="4"/>
        <v>-0.80344000000000004</v>
      </c>
      <c r="K37" s="13">
        <f t="shared" si="5"/>
        <v>-0.29039999999999999</v>
      </c>
      <c r="M37">
        <f t="shared" si="8"/>
        <v>-0.80027493333333344</v>
      </c>
      <c r="N37">
        <f t="shared" si="2"/>
        <v>0</v>
      </c>
      <c r="O37">
        <f t="shared" si="3"/>
        <v>0</v>
      </c>
    </row>
    <row r="38" spans="5:15">
      <c r="E38" s="14">
        <v>19.349999999999898</v>
      </c>
      <c r="F38" s="14">
        <f>E38/20*Protokoll!$AC$5</f>
        <v>19.349999999999898</v>
      </c>
      <c r="G38" s="14">
        <f t="shared" si="0"/>
        <v>19.350000000000001</v>
      </c>
      <c r="H38">
        <f t="shared" si="6"/>
        <v>-0.121</v>
      </c>
      <c r="I38" s="13">
        <f t="shared" si="7"/>
        <v>-0.121</v>
      </c>
      <c r="J38">
        <f t="shared" si="4"/>
        <v>-0.79859999999999931</v>
      </c>
      <c r="K38" s="13">
        <f t="shared" si="5"/>
        <v>-0.29039999999999999</v>
      </c>
      <c r="M38">
        <f t="shared" si="8"/>
        <v>-0.79545399999999944</v>
      </c>
      <c r="N38">
        <f t="shared" si="2"/>
        <v>0</v>
      </c>
      <c r="O38">
        <f t="shared" si="3"/>
        <v>0</v>
      </c>
    </row>
    <row r="39" spans="5:15">
      <c r="E39" s="14">
        <v>19.3599999999999</v>
      </c>
      <c r="F39" s="14">
        <f>E39/20*Protokoll!$AC$5</f>
        <v>19.3599999999999</v>
      </c>
      <c r="G39" s="14">
        <f t="shared" si="0"/>
        <v>19.36</v>
      </c>
      <c r="H39">
        <f t="shared" si="6"/>
        <v>-0.11616000000000097</v>
      </c>
      <c r="I39" s="13">
        <f t="shared" si="7"/>
        <v>-0.11616000000000097</v>
      </c>
      <c r="J39">
        <f t="shared" si="4"/>
        <v>-0.79376000000000024</v>
      </c>
      <c r="K39" s="13">
        <f t="shared" si="5"/>
        <v>-0.29039999999999999</v>
      </c>
      <c r="M39">
        <f t="shared" si="8"/>
        <v>-0.79063306666666699</v>
      </c>
      <c r="N39">
        <f t="shared" si="2"/>
        <v>0</v>
      </c>
      <c r="O39">
        <f t="shared" si="3"/>
        <v>0</v>
      </c>
    </row>
    <row r="40" spans="5:15">
      <c r="E40" s="14">
        <v>19.369999999999902</v>
      </c>
      <c r="F40" s="14">
        <f>E40/20*Protokoll!$AC$5</f>
        <v>19.369999999999902</v>
      </c>
      <c r="G40" s="14">
        <f t="shared" si="0"/>
        <v>19.37</v>
      </c>
      <c r="H40">
        <f t="shared" si="6"/>
        <v>-0.11132000000000021</v>
      </c>
      <c r="I40" s="13">
        <f t="shared" si="7"/>
        <v>-0.11132000000000021</v>
      </c>
      <c r="J40">
        <f t="shared" si="4"/>
        <v>-0.78891999999999951</v>
      </c>
      <c r="K40" s="13">
        <f t="shared" si="5"/>
        <v>-0.29039999999999999</v>
      </c>
      <c r="M40">
        <f t="shared" si="8"/>
        <v>-0.78581213333333289</v>
      </c>
      <c r="N40">
        <f t="shared" si="2"/>
        <v>0</v>
      </c>
      <c r="O40">
        <f t="shared" si="3"/>
        <v>0</v>
      </c>
    </row>
    <row r="41" spans="5:15">
      <c r="E41" s="14">
        <v>19.3799999999999</v>
      </c>
      <c r="F41" s="14">
        <f>E41/20*Protokoll!$AC$5</f>
        <v>19.3799999999999</v>
      </c>
      <c r="G41" s="14">
        <f t="shared" si="0"/>
        <v>19.38</v>
      </c>
      <c r="H41">
        <f t="shared" si="6"/>
        <v>-0.10648000000000117</v>
      </c>
      <c r="I41" s="13">
        <f t="shared" si="7"/>
        <v>-0.10648000000000117</v>
      </c>
      <c r="J41">
        <f t="shared" si="4"/>
        <v>-0.78408000000000055</v>
      </c>
      <c r="K41" s="13">
        <f t="shared" si="5"/>
        <v>-0.29039999999999999</v>
      </c>
      <c r="M41">
        <f t="shared" si="8"/>
        <v>-0.78099120000000055</v>
      </c>
      <c r="N41">
        <f t="shared" si="2"/>
        <v>0</v>
      </c>
      <c r="O41">
        <f t="shared" si="3"/>
        <v>0</v>
      </c>
    </row>
    <row r="42" spans="5:15">
      <c r="E42" s="14">
        <v>19.389999999999901</v>
      </c>
      <c r="F42" s="14">
        <f>E42/20*Protokoll!$AC$5</f>
        <v>19.389999999999901</v>
      </c>
      <c r="G42" s="14">
        <f t="shared" si="0"/>
        <v>19.39</v>
      </c>
      <c r="H42">
        <f t="shared" si="6"/>
        <v>-0.10164000000000041</v>
      </c>
      <c r="I42" s="13">
        <f t="shared" si="7"/>
        <v>-0.10164000000000041</v>
      </c>
      <c r="J42">
        <f t="shared" si="4"/>
        <v>-0.77923999999999982</v>
      </c>
      <c r="K42" s="13">
        <f t="shared" si="5"/>
        <v>-0.29039999999999999</v>
      </c>
      <c r="M42">
        <f t="shared" si="8"/>
        <v>-0.77617026666666655</v>
      </c>
      <c r="N42">
        <f t="shared" si="2"/>
        <v>0</v>
      </c>
      <c r="O42">
        <f t="shared" si="3"/>
        <v>0</v>
      </c>
    </row>
    <row r="43" spans="5:15">
      <c r="E43" s="14">
        <v>19.399999999999899</v>
      </c>
      <c r="F43" s="14">
        <f>E43/20*Protokoll!$AC$5</f>
        <v>19.399999999999899</v>
      </c>
      <c r="G43" s="14">
        <f t="shared" si="0"/>
        <v>19.399999999999999</v>
      </c>
      <c r="H43">
        <f t="shared" si="6"/>
        <v>-9.6800000000001385E-2</v>
      </c>
      <c r="I43" s="13">
        <f t="shared" si="7"/>
        <v>-9.6800000000001385E-2</v>
      </c>
      <c r="J43">
        <f t="shared" si="4"/>
        <v>-0.77440000000000075</v>
      </c>
      <c r="K43" s="13">
        <f t="shared" si="5"/>
        <v>-0.29039999999999999</v>
      </c>
      <c r="M43">
        <f t="shared" si="8"/>
        <v>-0.77134933333333411</v>
      </c>
      <c r="N43">
        <f t="shared" si="2"/>
        <v>0</v>
      </c>
      <c r="O43">
        <f t="shared" si="3"/>
        <v>0</v>
      </c>
    </row>
    <row r="44" spans="5:15">
      <c r="E44" s="14">
        <v>19.409999999999901</v>
      </c>
      <c r="F44" s="14">
        <f>E44/20*Protokoll!$AC$5</f>
        <v>19.409999999999901</v>
      </c>
      <c r="G44" s="14">
        <f t="shared" si="0"/>
        <v>19.41</v>
      </c>
      <c r="H44">
        <f t="shared" si="6"/>
        <v>-9.1960000000000625E-2</v>
      </c>
      <c r="I44" s="13">
        <f t="shared" si="7"/>
        <v>-9.1960000000000625E-2</v>
      </c>
      <c r="J44">
        <f t="shared" si="4"/>
        <v>-0.76955999999999991</v>
      </c>
      <c r="K44" s="13">
        <f t="shared" si="5"/>
        <v>-0.29039999999999999</v>
      </c>
      <c r="M44">
        <f t="shared" si="8"/>
        <v>-0.7665284</v>
      </c>
      <c r="N44">
        <f t="shared" si="2"/>
        <v>0</v>
      </c>
      <c r="O44">
        <f t="shared" si="3"/>
        <v>0</v>
      </c>
    </row>
    <row r="45" spans="5:15">
      <c r="E45" s="14">
        <v>19.419999999999899</v>
      </c>
      <c r="F45" s="14">
        <f>E45/20*Protokoll!$AC$5</f>
        <v>19.419999999999899</v>
      </c>
      <c r="G45" s="14">
        <f t="shared" si="0"/>
        <v>19.420000000000002</v>
      </c>
      <c r="H45">
        <f t="shared" si="6"/>
        <v>-8.7119999999999864E-2</v>
      </c>
      <c r="I45" s="13">
        <f t="shared" si="7"/>
        <v>-8.7119999999999864E-2</v>
      </c>
      <c r="J45">
        <f t="shared" si="4"/>
        <v>-0.76471999999999918</v>
      </c>
      <c r="K45" s="13">
        <f t="shared" si="5"/>
        <v>-0.29039999999999999</v>
      </c>
      <c r="M45">
        <f t="shared" si="8"/>
        <v>-0.76170746666666589</v>
      </c>
      <c r="N45">
        <f t="shared" si="2"/>
        <v>0</v>
      </c>
      <c r="O45">
        <f t="shared" si="3"/>
        <v>0</v>
      </c>
    </row>
    <row r="46" spans="5:15">
      <c r="E46" s="14">
        <v>19.4299999999999</v>
      </c>
      <c r="F46" s="14">
        <f>E46/20*Protokoll!$AC$5</f>
        <v>19.4299999999999</v>
      </c>
      <c r="G46" s="14">
        <f t="shared" si="0"/>
        <v>19.43</v>
      </c>
      <c r="H46">
        <f t="shared" si="6"/>
        <v>-8.2280000000000839E-2</v>
      </c>
      <c r="I46" s="13">
        <f t="shared" si="7"/>
        <v>-8.2280000000000839E-2</v>
      </c>
      <c r="J46">
        <f t="shared" si="4"/>
        <v>-0.75988000000000011</v>
      </c>
      <c r="K46" s="13">
        <f t="shared" si="5"/>
        <v>-0.29039999999999999</v>
      </c>
      <c r="M46">
        <f t="shared" si="8"/>
        <v>-0.75688653333333356</v>
      </c>
      <c r="N46">
        <f t="shared" si="2"/>
        <v>0</v>
      </c>
      <c r="O46">
        <f t="shared" si="3"/>
        <v>0</v>
      </c>
    </row>
    <row r="47" spans="5:15">
      <c r="E47" s="14">
        <v>19.439999999999898</v>
      </c>
      <c r="F47" s="14">
        <f>E47/20*Protokoll!$AC$5</f>
        <v>19.439999999999898</v>
      </c>
      <c r="G47" s="14">
        <f t="shared" si="0"/>
        <v>19.440000000000001</v>
      </c>
      <c r="H47">
        <f t="shared" si="6"/>
        <v>-7.7440000000000078E-2</v>
      </c>
      <c r="I47" s="13">
        <f t="shared" si="7"/>
        <v>-7.7440000000000078E-2</v>
      </c>
      <c r="J47">
        <f t="shared" si="4"/>
        <v>-0.75503999999999938</v>
      </c>
      <c r="K47" s="13">
        <f t="shared" si="5"/>
        <v>-0.29039999999999999</v>
      </c>
      <c r="M47">
        <f t="shared" si="8"/>
        <v>-0.75206559999999945</v>
      </c>
      <c r="N47">
        <f t="shared" si="2"/>
        <v>0</v>
      </c>
      <c r="O47">
        <f t="shared" si="3"/>
        <v>0</v>
      </c>
    </row>
    <row r="48" spans="5:15">
      <c r="E48" s="14">
        <v>19.4499999999999</v>
      </c>
      <c r="F48" s="14">
        <f>E48/20*Protokoll!$AC$5</f>
        <v>19.4499999999999</v>
      </c>
      <c r="G48" s="14">
        <f t="shared" si="0"/>
        <v>19.45</v>
      </c>
      <c r="H48">
        <f t="shared" si="6"/>
        <v>-7.2600000000001025E-2</v>
      </c>
      <c r="I48" s="13">
        <f t="shared" si="7"/>
        <v>-7.2600000000001025E-2</v>
      </c>
      <c r="J48">
        <f t="shared" si="4"/>
        <v>-0.75020000000000042</v>
      </c>
      <c r="K48" s="13">
        <f t="shared" si="5"/>
        <v>-0.29039999999999999</v>
      </c>
      <c r="M48">
        <f t="shared" si="8"/>
        <v>-0.74724466666666711</v>
      </c>
      <c r="N48">
        <f t="shared" si="2"/>
        <v>0</v>
      </c>
      <c r="O48">
        <f t="shared" si="3"/>
        <v>0</v>
      </c>
    </row>
    <row r="49" spans="5:15">
      <c r="E49" s="14">
        <v>19.459999999999901</v>
      </c>
      <c r="F49" s="14">
        <f>E49/20*Protokoll!$AC$5</f>
        <v>19.459999999999901</v>
      </c>
      <c r="G49" s="14">
        <f t="shared" si="0"/>
        <v>19.46</v>
      </c>
      <c r="H49">
        <f t="shared" si="6"/>
        <v>-6.7760000000000278E-2</v>
      </c>
      <c r="I49" s="13">
        <f t="shared" si="7"/>
        <v>-6.7760000000000278E-2</v>
      </c>
      <c r="J49">
        <f t="shared" si="4"/>
        <v>-0.74535999999999969</v>
      </c>
      <c r="K49" s="13">
        <f t="shared" si="5"/>
        <v>-0.29039999999999999</v>
      </c>
      <c r="M49">
        <f t="shared" si="8"/>
        <v>-0.742423733333333</v>
      </c>
      <c r="N49">
        <f t="shared" si="2"/>
        <v>0</v>
      </c>
      <c r="O49">
        <f t="shared" si="3"/>
        <v>0</v>
      </c>
    </row>
    <row r="50" spans="5:15">
      <c r="E50" s="14">
        <v>19.469999999999899</v>
      </c>
      <c r="F50" s="14">
        <f>E50/20*Protokoll!$AC$5</f>
        <v>19.469999999999899</v>
      </c>
      <c r="G50" s="14">
        <f t="shared" si="0"/>
        <v>19.47</v>
      </c>
      <c r="H50">
        <f t="shared" si="6"/>
        <v>-6.2920000000001239E-2</v>
      </c>
      <c r="I50" s="13">
        <f t="shared" si="7"/>
        <v>-6.2920000000001239E-2</v>
      </c>
      <c r="J50">
        <f t="shared" si="4"/>
        <v>-0.74052000000000062</v>
      </c>
      <c r="K50" s="13">
        <f t="shared" si="5"/>
        <v>-0.29039999999999999</v>
      </c>
      <c r="M50">
        <f t="shared" si="8"/>
        <v>-0.73760280000000067</v>
      </c>
      <c r="N50">
        <f t="shared" si="2"/>
        <v>0</v>
      </c>
      <c r="O50">
        <f t="shared" si="3"/>
        <v>0</v>
      </c>
    </row>
    <row r="51" spans="5:15">
      <c r="E51" s="14">
        <v>19.479999999999901</v>
      </c>
      <c r="F51" s="14">
        <f>E51/20*Protokoll!$AC$5</f>
        <v>19.479999999999901</v>
      </c>
      <c r="G51" s="14">
        <f t="shared" si="0"/>
        <v>19.48</v>
      </c>
      <c r="H51">
        <f t="shared" si="6"/>
        <v>-5.8080000000000485E-2</v>
      </c>
      <c r="I51" s="13">
        <f t="shared" si="7"/>
        <v>-5.8080000000000485E-2</v>
      </c>
      <c r="J51">
        <f t="shared" si="4"/>
        <v>-0.73567999999999978</v>
      </c>
      <c r="K51" s="13">
        <f t="shared" si="5"/>
        <v>-0.29039999999999999</v>
      </c>
      <c r="M51">
        <f t="shared" si="8"/>
        <v>-0.73278186666666656</v>
      </c>
      <c r="N51">
        <f t="shared" si="2"/>
        <v>0</v>
      </c>
      <c r="O51">
        <f t="shared" si="3"/>
        <v>0</v>
      </c>
    </row>
    <row r="52" spans="5:15">
      <c r="E52" s="14">
        <v>19.489999999999899</v>
      </c>
      <c r="F52" s="14">
        <f>E52/20*Protokoll!$AC$5</f>
        <v>19.489999999999899</v>
      </c>
      <c r="G52" s="14">
        <f t="shared" si="0"/>
        <v>19.489999999999998</v>
      </c>
      <c r="H52">
        <f t="shared" si="6"/>
        <v>-5.3240000000001446E-2</v>
      </c>
      <c r="I52" s="13">
        <f t="shared" si="7"/>
        <v>-5.3240000000001446E-2</v>
      </c>
      <c r="J52">
        <f t="shared" si="4"/>
        <v>-0.73084000000000071</v>
      </c>
      <c r="K52" s="13">
        <f t="shared" si="5"/>
        <v>-0.29039999999999999</v>
      </c>
      <c r="M52">
        <f t="shared" si="8"/>
        <v>-0.72796093333333411</v>
      </c>
      <c r="N52">
        <f t="shared" si="2"/>
        <v>0</v>
      </c>
      <c r="O52">
        <f t="shared" si="3"/>
        <v>0</v>
      </c>
    </row>
    <row r="53" spans="5:15">
      <c r="E53" s="14">
        <v>19.499999999999901</v>
      </c>
      <c r="F53" s="14">
        <f>E53/20*Protokoll!$AC$5</f>
        <v>19.499999999999901</v>
      </c>
      <c r="G53" s="14">
        <f t="shared" si="0"/>
        <v>19.5</v>
      </c>
      <c r="H53">
        <f t="shared" si="6"/>
        <v>-4.8400000000000692E-2</v>
      </c>
      <c r="I53" s="13">
        <f t="shared" si="7"/>
        <v>-4.8400000000000692E-2</v>
      </c>
      <c r="J53">
        <f t="shared" si="4"/>
        <v>-0.72599999999999998</v>
      </c>
      <c r="K53" s="13">
        <f t="shared" si="5"/>
        <v>-0.29039999999999999</v>
      </c>
      <c r="M53">
        <f t="shared" si="8"/>
        <v>-0.72314000000000001</v>
      </c>
      <c r="N53">
        <f t="shared" si="2"/>
        <v>0</v>
      </c>
      <c r="O53">
        <f t="shared" si="3"/>
        <v>0</v>
      </c>
    </row>
    <row r="54" spans="5:15">
      <c r="E54" s="14">
        <v>19.509999999999899</v>
      </c>
      <c r="F54" s="14">
        <f>E54/20*Protokoll!$AC$5</f>
        <v>19.509999999999899</v>
      </c>
      <c r="G54" s="14">
        <f t="shared" si="0"/>
        <v>19.510000000000002</v>
      </c>
      <c r="H54">
        <f t="shared" si="6"/>
        <v>-4.3559999999999932E-2</v>
      </c>
      <c r="I54" s="13">
        <f t="shared" si="7"/>
        <v>-4.3559999999999932E-2</v>
      </c>
      <c r="J54">
        <f t="shared" si="4"/>
        <v>-0.72115999999999925</v>
      </c>
      <c r="K54" s="13">
        <f t="shared" si="5"/>
        <v>-0.29039999999999999</v>
      </c>
      <c r="M54">
        <f t="shared" si="8"/>
        <v>-0.7183190666666659</v>
      </c>
      <c r="N54">
        <f t="shared" si="2"/>
        <v>0</v>
      </c>
      <c r="O54">
        <f t="shared" si="3"/>
        <v>0</v>
      </c>
    </row>
    <row r="55" spans="5:15">
      <c r="E55" s="14">
        <v>19.5199999999999</v>
      </c>
      <c r="F55" s="14">
        <f>E55/20*Protokoll!$AC$5</f>
        <v>19.5199999999999</v>
      </c>
      <c r="G55" s="14">
        <f t="shared" si="0"/>
        <v>19.52</v>
      </c>
      <c r="H55">
        <f t="shared" si="6"/>
        <v>-3.8720000000000893E-2</v>
      </c>
      <c r="I55" s="13">
        <f t="shared" si="7"/>
        <v>-3.8720000000000893E-2</v>
      </c>
      <c r="J55">
        <f t="shared" si="4"/>
        <v>-0.71632000000000029</v>
      </c>
      <c r="K55" s="13">
        <f t="shared" si="5"/>
        <v>-0.29039999999999999</v>
      </c>
      <c r="M55">
        <f t="shared" si="8"/>
        <v>-0.71349813333333367</v>
      </c>
      <c r="N55">
        <f t="shared" si="2"/>
        <v>0</v>
      </c>
      <c r="O55">
        <f t="shared" si="3"/>
        <v>0</v>
      </c>
    </row>
    <row r="56" spans="5:15">
      <c r="E56" s="14">
        <v>19.529999999999902</v>
      </c>
      <c r="F56" s="14">
        <f>E56/20*Protokoll!$AC$5</f>
        <v>19.529999999999902</v>
      </c>
      <c r="G56" s="14">
        <f t="shared" si="0"/>
        <v>19.53</v>
      </c>
      <c r="H56">
        <f t="shared" si="6"/>
        <v>-3.3880000000000139E-2</v>
      </c>
      <c r="I56" s="13">
        <f t="shared" si="7"/>
        <v>-3.3880000000000139E-2</v>
      </c>
      <c r="J56">
        <f t="shared" si="4"/>
        <v>-0.71147999999999956</v>
      </c>
      <c r="K56" s="13">
        <f t="shared" si="5"/>
        <v>-0.29039999999999999</v>
      </c>
      <c r="M56">
        <f t="shared" si="8"/>
        <v>-0.70867719999999956</v>
      </c>
      <c r="N56">
        <f t="shared" si="2"/>
        <v>0</v>
      </c>
      <c r="O56">
        <f t="shared" si="3"/>
        <v>0</v>
      </c>
    </row>
    <row r="57" spans="5:15">
      <c r="E57" s="14">
        <v>19.5399999999999</v>
      </c>
      <c r="F57" s="14">
        <f>E57/20*Protokoll!$AC$5</f>
        <v>19.5399999999999</v>
      </c>
      <c r="G57" s="14">
        <f t="shared" si="0"/>
        <v>19.54</v>
      </c>
      <c r="H57">
        <f t="shared" si="6"/>
        <v>-2.90400000000011E-2</v>
      </c>
      <c r="I57" s="13">
        <f t="shared" si="7"/>
        <v>-2.90400000000011E-2</v>
      </c>
      <c r="J57">
        <f t="shared" si="4"/>
        <v>-0.70664000000000049</v>
      </c>
      <c r="K57" s="13">
        <f t="shared" si="5"/>
        <v>-0.29039999999999999</v>
      </c>
      <c r="M57">
        <f t="shared" si="8"/>
        <v>-0.70385626666666712</v>
      </c>
      <c r="N57">
        <f t="shared" si="2"/>
        <v>0</v>
      </c>
      <c r="O57">
        <f t="shared" si="3"/>
        <v>0</v>
      </c>
    </row>
    <row r="58" spans="5:15">
      <c r="E58" s="14">
        <v>19.549999999999901</v>
      </c>
      <c r="F58" s="14">
        <f>E58/20*Protokoll!$AC$5</f>
        <v>19.549999999999901</v>
      </c>
      <c r="G58" s="14">
        <f t="shared" si="0"/>
        <v>19.55</v>
      </c>
      <c r="H58">
        <f t="shared" si="6"/>
        <v>-2.4200000000000346E-2</v>
      </c>
      <c r="I58" s="13">
        <f t="shared" si="7"/>
        <v>-2.4200000000000346E-2</v>
      </c>
      <c r="J58">
        <f t="shared" si="4"/>
        <v>-0.70179999999999965</v>
      </c>
      <c r="K58" s="13">
        <f t="shared" si="5"/>
        <v>-0.29039999999999999</v>
      </c>
      <c r="M58">
        <f t="shared" si="8"/>
        <v>-0.69903533333333312</v>
      </c>
      <c r="N58">
        <f t="shared" si="2"/>
        <v>0</v>
      </c>
      <c r="O58">
        <f t="shared" si="3"/>
        <v>0</v>
      </c>
    </row>
    <row r="59" spans="5:15">
      <c r="E59" s="14">
        <v>19.559999999999899</v>
      </c>
      <c r="F59" s="14">
        <f>E59/20*Protokoll!$AC$5</f>
        <v>19.559999999999899</v>
      </c>
      <c r="G59" s="14">
        <f t="shared" si="0"/>
        <v>19.559999999999999</v>
      </c>
      <c r="H59">
        <f t="shared" si="6"/>
        <v>-1.936000000000131E-2</v>
      </c>
      <c r="I59" s="13">
        <f t="shared" si="7"/>
        <v>-1.936000000000131E-2</v>
      </c>
      <c r="J59">
        <f t="shared" si="4"/>
        <v>-0.69696000000000058</v>
      </c>
      <c r="K59" s="13">
        <f t="shared" si="5"/>
        <v>-0.29039999999999999</v>
      </c>
      <c r="M59">
        <f t="shared" si="8"/>
        <v>-0.69421440000000068</v>
      </c>
      <c r="N59">
        <f t="shared" si="2"/>
        <v>0</v>
      </c>
      <c r="O59">
        <f t="shared" si="3"/>
        <v>0</v>
      </c>
    </row>
    <row r="60" spans="5:15">
      <c r="E60" s="14">
        <v>19.569999999999901</v>
      </c>
      <c r="F60" s="14">
        <f>E60/20*Protokoll!$AC$5</f>
        <v>19.569999999999901</v>
      </c>
      <c r="G60" s="14">
        <f t="shared" si="0"/>
        <v>19.57</v>
      </c>
      <c r="H60">
        <f t="shared" si="6"/>
        <v>-1.452000000000055E-2</v>
      </c>
      <c r="I60" s="13">
        <f t="shared" si="7"/>
        <v>-1.452000000000055E-2</v>
      </c>
      <c r="J60">
        <f t="shared" si="4"/>
        <v>-0.69211999999999985</v>
      </c>
      <c r="K60" s="13">
        <f t="shared" si="5"/>
        <v>-0.29039999999999999</v>
      </c>
      <c r="M60">
        <f t="shared" si="8"/>
        <v>-0.68939346666666657</v>
      </c>
      <c r="N60">
        <f t="shared" si="2"/>
        <v>0</v>
      </c>
      <c r="O60">
        <f t="shared" si="3"/>
        <v>0</v>
      </c>
    </row>
    <row r="61" spans="5:15">
      <c r="E61" s="14">
        <v>19.579999999999899</v>
      </c>
      <c r="F61" s="14">
        <f>E61/20*Protokoll!$AC$5</f>
        <v>19.579999999999899</v>
      </c>
      <c r="G61" s="14">
        <f t="shared" si="0"/>
        <v>19.579999999999998</v>
      </c>
      <c r="H61">
        <f t="shared" si="6"/>
        <v>-9.680000000001512E-3</v>
      </c>
      <c r="I61" s="13">
        <f t="shared" si="7"/>
        <v>-9.680000000001512E-3</v>
      </c>
      <c r="J61">
        <f t="shared" si="4"/>
        <v>-0.68728000000000089</v>
      </c>
      <c r="K61" s="13">
        <f t="shared" si="5"/>
        <v>-0.29039999999999999</v>
      </c>
      <c r="M61">
        <f t="shared" si="8"/>
        <v>-0.68457253333333423</v>
      </c>
      <c r="N61">
        <f t="shared" si="2"/>
        <v>0</v>
      </c>
      <c r="O61">
        <f t="shared" si="3"/>
        <v>0</v>
      </c>
    </row>
    <row r="62" spans="5:15">
      <c r="E62" s="14">
        <v>19.5899999999999</v>
      </c>
      <c r="F62" s="14">
        <f>E62/20*Protokoll!$AC$5</f>
        <v>19.5899999999999</v>
      </c>
      <c r="G62" s="14">
        <f t="shared" si="0"/>
        <v>19.59</v>
      </c>
      <c r="H62">
        <f t="shared" si="6"/>
        <v>-4.840000000000756E-3</v>
      </c>
      <c r="I62" s="13">
        <f t="shared" si="7"/>
        <v>-4.840000000000756E-3</v>
      </c>
      <c r="J62">
        <f t="shared" si="4"/>
        <v>-0.68244000000000016</v>
      </c>
      <c r="K62" s="13">
        <f t="shared" si="5"/>
        <v>-0.29039999999999999</v>
      </c>
      <c r="M62">
        <f t="shared" si="8"/>
        <v>-0.67975160000000023</v>
      </c>
      <c r="N62">
        <f t="shared" si="2"/>
        <v>0</v>
      </c>
      <c r="O62">
        <f t="shared" si="3"/>
        <v>0</v>
      </c>
    </row>
    <row r="63" spans="5:15">
      <c r="E63" s="14">
        <v>19.599999999999898</v>
      </c>
      <c r="F63" s="14">
        <f>E63/20*Protokoll!$AC$5</f>
        <v>19.599999999999898</v>
      </c>
      <c r="G63" s="14">
        <f t="shared" si="0"/>
        <v>19.600000000000001</v>
      </c>
      <c r="H63">
        <f t="shared" si="6"/>
        <v>0</v>
      </c>
      <c r="I63" s="13">
        <f t="shared" si="7"/>
        <v>0</v>
      </c>
      <c r="J63">
        <f t="shared" si="4"/>
        <v>-0.67759999999999942</v>
      </c>
      <c r="K63" s="13">
        <f t="shared" si="5"/>
        <v>-0.29039999999999999</v>
      </c>
      <c r="M63">
        <f t="shared" si="8"/>
        <v>-0.67493066666666612</v>
      </c>
      <c r="N63">
        <f t="shared" si="2"/>
        <v>0</v>
      </c>
      <c r="O63">
        <f t="shared" si="3"/>
        <v>0</v>
      </c>
    </row>
    <row r="64" spans="5:15">
      <c r="E64" s="14">
        <v>19.6099999999999</v>
      </c>
      <c r="F64" s="14">
        <f>E64/20*Protokoll!$AC$5</f>
        <v>19.6099999999999</v>
      </c>
      <c r="G64" s="14">
        <f t="shared" si="0"/>
        <v>19.61</v>
      </c>
      <c r="H64">
        <f t="shared" si="6"/>
        <v>4.8399999999990378E-3</v>
      </c>
      <c r="I64" s="13">
        <f t="shared" si="7"/>
        <v>4.8399999999990378E-3</v>
      </c>
      <c r="J64">
        <f t="shared" si="4"/>
        <v>-0.67276000000000025</v>
      </c>
      <c r="K64" s="13">
        <f t="shared" si="5"/>
        <v>-0.29039999999999999</v>
      </c>
      <c r="M64">
        <f t="shared" si="8"/>
        <v>-0.67010973333333368</v>
      </c>
      <c r="N64">
        <f t="shared" si="2"/>
        <v>0</v>
      </c>
      <c r="O64">
        <f t="shared" si="3"/>
        <v>0</v>
      </c>
    </row>
    <row r="65" spans="5:15">
      <c r="E65" s="14">
        <v>19.619999999999902</v>
      </c>
      <c r="F65" s="14">
        <f>E65/20*Protokoll!$AC$5</f>
        <v>19.619999999999902</v>
      </c>
      <c r="G65" s="14">
        <f t="shared" si="0"/>
        <v>19.62</v>
      </c>
      <c r="H65">
        <f t="shared" si="6"/>
        <v>9.6799999999997947E-3</v>
      </c>
      <c r="I65" s="13">
        <f t="shared" si="7"/>
        <v>9.6799999999997947E-3</v>
      </c>
      <c r="J65">
        <f t="shared" si="4"/>
        <v>-0.66791999999999951</v>
      </c>
      <c r="K65" s="13">
        <f t="shared" si="5"/>
        <v>-0.29039999999999999</v>
      </c>
      <c r="M65">
        <f t="shared" si="8"/>
        <v>-0.66528879999999957</v>
      </c>
      <c r="N65">
        <f t="shared" si="2"/>
        <v>0</v>
      </c>
      <c r="O65">
        <f t="shared" si="3"/>
        <v>0</v>
      </c>
    </row>
    <row r="66" spans="5:15">
      <c r="E66" s="14">
        <v>19.6299999999999</v>
      </c>
      <c r="F66" s="14">
        <f>E66/20*Protokoll!$AC$5</f>
        <v>19.6299999999999</v>
      </c>
      <c r="G66" s="14">
        <f t="shared" si="0"/>
        <v>19.63</v>
      </c>
      <c r="H66">
        <f t="shared" si="6"/>
        <v>1.4519999999998832E-2</v>
      </c>
      <c r="I66" s="13">
        <f t="shared" si="7"/>
        <v>1.4519999999998832E-2</v>
      </c>
      <c r="J66">
        <f t="shared" si="4"/>
        <v>-0.66308000000000045</v>
      </c>
      <c r="K66" s="13">
        <f t="shared" si="5"/>
        <v>-0.29039999999999999</v>
      </c>
      <c r="M66">
        <f t="shared" si="8"/>
        <v>-0.66046786666666712</v>
      </c>
      <c r="N66">
        <f t="shared" si="2"/>
        <v>0</v>
      </c>
      <c r="O66">
        <f t="shared" si="3"/>
        <v>0</v>
      </c>
    </row>
    <row r="67" spans="5:15">
      <c r="E67" s="14">
        <v>19.639999999999901</v>
      </c>
      <c r="F67" s="14">
        <f>E67/20*Protokoll!$AC$5</f>
        <v>19.639999999999901</v>
      </c>
      <c r="G67" s="14">
        <f t="shared" ref="G67:G130" si="9">ROUND(F67,2)</f>
        <v>19.64</v>
      </c>
      <c r="H67">
        <f t="shared" si="6"/>
        <v>1.9359999999999589E-2</v>
      </c>
      <c r="I67" s="13">
        <f t="shared" ref="I67:I130" si="10">IF(H67&gt;=$C$13,$C$13,H67)</f>
        <v>1.9359999999999589E-2</v>
      </c>
      <c r="J67">
        <f t="shared" si="4"/>
        <v>-0.65823999999999971</v>
      </c>
      <c r="K67" s="13">
        <f t="shared" si="5"/>
        <v>-0.29039999999999999</v>
      </c>
      <c r="M67">
        <f t="shared" ref="M67:M98" si="11">-0.3287*$B$2*(($B$9-G67)/$B$15)</f>
        <v>-0.65564693333333313</v>
      </c>
      <c r="N67">
        <f t="shared" ref="N67:N130" si="12">$B$3/$B$2*I67</f>
        <v>0</v>
      </c>
      <c r="O67">
        <f t="shared" ref="O67:O130" si="13">$B$3/$B$2*K67</f>
        <v>0</v>
      </c>
    </row>
    <row r="68" spans="5:15">
      <c r="E68" s="14">
        <v>19.649999999999899</v>
      </c>
      <c r="F68" s="14">
        <f>E68/20*Protokoll!$AC$5</f>
        <v>19.649999999999899</v>
      </c>
      <c r="G68" s="14">
        <f t="shared" si="9"/>
        <v>19.649999999999999</v>
      </c>
      <c r="H68">
        <f t="shared" si="6"/>
        <v>2.4199999999998625E-2</v>
      </c>
      <c r="I68" s="13">
        <f t="shared" si="10"/>
        <v>2.4199999999998625E-2</v>
      </c>
      <c r="J68">
        <f t="shared" ref="J68:J131" si="14">0.33*$B$2*((G68-$B$9)/$B$15)</f>
        <v>-0.65340000000000076</v>
      </c>
      <c r="K68" s="13">
        <f t="shared" ref="K68:K131" si="15">IF(G68&lt;=$B$10,
         IF(J68&lt;=$C$14,$C$14,J68),
                $C$10)</f>
        <v>-0.29039999999999999</v>
      </c>
      <c r="M68">
        <f t="shared" si="11"/>
        <v>-0.65082600000000079</v>
      </c>
      <c r="N68">
        <f t="shared" si="12"/>
        <v>0</v>
      </c>
      <c r="O68">
        <f t="shared" si="13"/>
        <v>0</v>
      </c>
    </row>
    <row r="69" spans="5:15">
      <c r="E69" s="14">
        <v>19.659999999999901</v>
      </c>
      <c r="F69" s="14">
        <f>E69/20*Protokoll!$AC$5</f>
        <v>19.659999999999901</v>
      </c>
      <c r="G69" s="14">
        <f t="shared" si="9"/>
        <v>19.66</v>
      </c>
      <c r="H69">
        <f t="shared" ref="H69:H132" si="16">-0.33*$B$2*(($B$7-G69)/$B$15)</f>
        <v>2.9039999999999379E-2</v>
      </c>
      <c r="I69" s="13">
        <f t="shared" si="10"/>
        <v>2.9039999999999379E-2</v>
      </c>
      <c r="J69">
        <f t="shared" si="14"/>
        <v>-0.64856000000000003</v>
      </c>
      <c r="K69" s="13">
        <f t="shared" si="15"/>
        <v>-0.29039999999999999</v>
      </c>
      <c r="M69">
        <f t="shared" si="11"/>
        <v>-0.64600506666666668</v>
      </c>
      <c r="N69">
        <f t="shared" si="12"/>
        <v>0</v>
      </c>
      <c r="O69">
        <f t="shared" si="13"/>
        <v>0</v>
      </c>
    </row>
    <row r="70" spans="5:15">
      <c r="E70" s="14">
        <v>19.669999999999899</v>
      </c>
      <c r="F70" s="14">
        <f>E70/20*Protokoll!$AC$5</f>
        <v>19.669999999999899</v>
      </c>
      <c r="G70" s="14">
        <f t="shared" si="9"/>
        <v>19.670000000000002</v>
      </c>
      <c r="H70">
        <f t="shared" si="16"/>
        <v>3.3880000000000139E-2</v>
      </c>
      <c r="I70" s="13">
        <f t="shared" si="10"/>
        <v>3.3880000000000139E-2</v>
      </c>
      <c r="J70">
        <f t="shared" si="14"/>
        <v>-0.64371999999999929</v>
      </c>
      <c r="K70" s="13">
        <f t="shared" si="15"/>
        <v>-0.29039999999999999</v>
      </c>
      <c r="M70">
        <f t="shared" si="11"/>
        <v>-0.64118413333333257</v>
      </c>
      <c r="N70">
        <f t="shared" si="12"/>
        <v>0</v>
      </c>
      <c r="O70">
        <f t="shared" si="13"/>
        <v>0</v>
      </c>
    </row>
    <row r="71" spans="5:15">
      <c r="E71" s="14">
        <v>19.6799999999999</v>
      </c>
      <c r="F71" s="14">
        <f>E71/20*Protokoll!$AC$5</f>
        <v>19.6799999999999</v>
      </c>
      <c r="G71" s="14">
        <f t="shared" si="9"/>
        <v>19.68</v>
      </c>
      <c r="H71">
        <f t="shared" si="16"/>
        <v>3.8719999999999179E-2</v>
      </c>
      <c r="I71" s="13">
        <f t="shared" si="10"/>
        <v>3.8719999999999179E-2</v>
      </c>
      <c r="J71">
        <f t="shared" si="14"/>
        <v>-0.63888000000000011</v>
      </c>
      <c r="K71" s="13">
        <f t="shared" si="15"/>
        <v>-0.29039999999999999</v>
      </c>
      <c r="M71">
        <f t="shared" si="11"/>
        <v>-0.63636320000000024</v>
      </c>
      <c r="N71">
        <f t="shared" si="12"/>
        <v>0</v>
      </c>
      <c r="O71">
        <f t="shared" si="13"/>
        <v>0</v>
      </c>
    </row>
    <row r="72" spans="5:15">
      <c r="E72" s="14">
        <v>19.689999999999898</v>
      </c>
      <c r="F72" s="14">
        <f>E72/20*Protokoll!$AC$5</f>
        <v>19.689999999999898</v>
      </c>
      <c r="G72" s="14">
        <f t="shared" si="9"/>
        <v>19.690000000000001</v>
      </c>
      <c r="H72">
        <f t="shared" si="16"/>
        <v>4.3559999999999932E-2</v>
      </c>
      <c r="I72" s="13">
        <f t="shared" si="10"/>
        <v>4.3559999999999932E-2</v>
      </c>
      <c r="J72">
        <f t="shared" si="14"/>
        <v>-0.63403999999999938</v>
      </c>
      <c r="K72" s="13">
        <f t="shared" si="15"/>
        <v>-0.29039999999999999</v>
      </c>
      <c r="M72">
        <f t="shared" si="11"/>
        <v>-0.63154226666666613</v>
      </c>
      <c r="N72">
        <f t="shared" si="12"/>
        <v>0</v>
      </c>
      <c r="O72">
        <f t="shared" si="13"/>
        <v>0</v>
      </c>
    </row>
    <row r="73" spans="5:15">
      <c r="E73" s="14">
        <v>19.6999999999999</v>
      </c>
      <c r="F73" s="14">
        <f>E73/20*Protokoll!$AC$5</f>
        <v>19.6999999999999</v>
      </c>
      <c r="G73" s="14">
        <f t="shared" si="9"/>
        <v>19.7</v>
      </c>
      <c r="H73">
        <f t="shared" si="16"/>
        <v>4.8399999999998972E-2</v>
      </c>
      <c r="I73" s="13">
        <f t="shared" si="10"/>
        <v>4.8399999999998972E-2</v>
      </c>
      <c r="J73">
        <f t="shared" si="14"/>
        <v>-0.62920000000000031</v>
      </c>
      <c r="K73" s="13">
        <f t="shared" si="15"/>
        <v>-0.29039999999999999</v>
      </c>
      <c r="M73">
        <f t="shared" si="11"/>
        <v>-0.62672133333333369</v>
      </c>
      <c r="N73">
        <f t="shared" si="12"/>
        <v>0</v>
      </c>
      <c r="O73">
        <f t="shared" si="13"/>
        <v>0</v>
      </c>
    </row>
    <row r="74" spans="5:15">
      <c r="E74" s="14">
        <v>19.709999999999901</v>
      </c>
      <c r="F74" s="14">
        <f>E74/20*Protokoll!$AC$5</f>
        <v>19.709999999999901</v>
      </c>
      <c r="G74" s="14">
        <f t="shared" si="9"/>
        <v>19.71</v>
      </c>
      <c r="H74">
        <f t="shared" si="16"/>
        <v>5.3239999999999732E-2</v>
      </c>
      <c r="I74" s="13">
        <f t="shared" si="10"/>
        <v>5.3239999999999732E-2</v>
      </c>
      <c r="J74">
        <f t="shared" si="14"/>
        <v>-0.62435999999999958</v>
      </c>
      <c r="K74" s="13">
        <f t="shared" si="15"/>
        <v>-0.29039999999999999</v>
      </c>
      <c r="M74">
        <f t="shared" si="11"/>
        <v>-0.62190039999999958</v>
      </c>
      <c r="N74">
        <f t="shared" si="12"/>
        <v>0</v>
      </c>
      <c r="O74">
        <f t="shared" si="13"/>
        <v>0</v>
      </c>
    </row>
    <row r="75" spans="5:15">
      <c r="E75" s="14">
        <v>19.719999999999899</v>
      </c>
      <c r="F75" s="14">
        <f>E75/20*Protokoll!$AC$5</f>
        <v>19.719999999999899</v>
      </c>
      <c r="G75" s="14">
        <f t="shared" si="9"/>
        <v>19.72</v>
      </c>
      <c r="H75">
        <f t="shared" si="16"/>
        <v>5.8079999999998758E-2</v>
      </c>
      <c r="I75" s="13">
        <f t="shared" si="10"/>
        <v>5.8079999999998758E-2</v>
      </c>
      <c r="J75">
        <f t="shared" si="14"/>
        <v>-0.61952000000000063</v>
      </c>
      <c r="K75" s="13">
        <f t="shared" si="15"/>
        <v>-0.29039999999999999</v>
      </c>
      <c r="M75">
        <f t="shared" si="11"/>
        <v>-0.61707946666666735</v>
      </c>
      <c r="N75">
        <f t="shared" si="12"/>
        <v>0</v>
      </c>
      <c r="O75">
        <f t="shared" si="13"/>
        <v>0</v>
      </c>
    </row>
    <row r="76" spans="5:15">
      <c r="E76" s="14">
        <v>19.729999999999901</v>
      </c>
      <c r="F76" s="14">
        <f>E76/20*Protokoll!$AC$5</f>
        <v>19.729999999999901</v>
      </c>
      <c r="G76" s="14">
        <f t="shared" si="9"/>
        <v>19.73</v>
      </c>
      <c r="H76">
        <f t="shared" si="16"/>
        <v>6.2919999999999518E-2</v>
      </c>
      <c r="I76" s="13">
        <f t="shared" si="10"/>
        <v>6.2919999999999518E-2</v>
      </c>
      <c r="J76">
        <f t="shared" si="14"/>
        <v>-0.61467999999999989</v>
      </c>
      <c r="K76" s="13">
        <f t="shared" si="15"/>
        <v>-0.29039999999999999</v>
      </c>
      <c r="M76">
        <f t="shared" si="11"/>
        <v>-0.61225853333333324</v>
      </c>
      <c r="N76">
        <f t="shared" si="12"/>
        <v>0</v>
      </c>
      <c r="O76">
        <f t="shared" si="13"/>
        <v>0</v>
      </c>
    </row>
    <row r="77" spans="5:15">
      <c r="E77" s="14">
        <v>19.739999999999899</v>
      </c>
      <c r="F77" s="14">
        <f>E77/20*Protokoll!$AC$5</f>
        <v>19.739999999999899</v>
      </c>
      <c r="G77" s="14">
        <f t="shared" si="9"/>
        <v>19.739999999999998</v>
      </c>
      <c r="H77">
        <f t="shared" si="16"/>
        <v>6.7759999999998557E-2</v>
      </c>
      <c r="I77" s="13">
        <f t="shared" si="10"/>
        <v>6.7759999999998557E-2</v>
      </c>
      <c r="J77">
        <f t="shared" si="14"/>
        <v>-0.60984000000000083</v>
      </c>
      <c r="K77" s="13">
        <f t="shared" si="15"/>
        <v>-0.29039999999999999</v>
      </c>
      <c r="M77">
        <f t="shared" si="11"/>
        <v>-0.6074376000000008</v>
      </c>
      <c r="N77">
        <f t="shared" si="12"/>
        <v>0</v>
      </c>
      <c r="O77">
        <f t="shared" si="13"/>
        <v>0</v>
      </c>
    </row>
    <row r="78" spans="5:15">
      <c r="E78" s="14">
        <v>19.749999999999901</v>
      </c>
      <c r="F78" s="14">
        <f>E78/20*Protokoll!$AC$5</f>
        <v>19.749999999999901</v>
      </c>
      <c r="G78" s="14">
        <f t="shared" si="9"/>
        <v>19.75</v>
      </c>
      <c r="H78">
        <f t="shared" si="16"/>
        <v>7.2599999999999318E-2</v>
      </c>
      <c r="I78" s="13">
        <f t="shared" si="10"/>
        <v>7.2599999999999318E-2</v>
      </c>
      <c r="J78">
        <f t="shared" si="14"/>
        <v>-0.60499999999999998</v>
      </c>
      <c r="K78" s="13">
        <f t="shared" si="15"/>
        <v>-0.29039999999999999</v>
      </c>
      <c r="M78">
        <f t="shared" si="11"/>
        <v>-0.60261666666666669</v>
      </c>
      <c r="N78">
        <f t="shared" si="12"/>
        <v>0</v>
      </c>
      <c r="O78">
        <f t="shared" si="13"/>
        <v>0</v>
      </c>
    </row>
    <row r="79" spans="5:15">
      <c r="E79" s="14">
        <v>19.759999999999899</v>
      </c>
      <c r="F79" s="14">
        <f>E79/20*Protokoll!$AC$5</f>
        <v>19.759999999999899</v>
      </c>
      <c r="G79" s="14">
        <f t="shared" si="9"/>
        <v>19.760000000000002</v>
      </c>
      <c r="H79">
        <f t="shared" si="16"/>
        <v>7.7440000000000078E-2</v>
      </c>
      <c r="I79" s="13">
        <f t="shared" si="10"/>
        <v>7.7440000000000078E-2</v>
      </c>
      <c r="J79">
        <f t="shared" si="14"/>
        <v>-0.60015999999999925</v>
      </c>
      <c r="K79" s="13">
        <f t="shared" si="15"/>
        <v>-0.29039999999999999</v>
      </c>
      <c r="M79">
        <f t="shared" si="11"/>
        <v>-0.59779573333333269</v>
      </c>
      <c r="N79">
        <f t="shared" si="12"/>
        <v>0</v>
      </c>
      <c r="O79">
        <f t="shared" si="13"/>
        <v>0</v>
      </c>
    </row>
    <row r="80" spans="5:15">
      <c r="E80" s="14">
        <v>19.7699999999999</v>
      </c>
      <c r="F80" s="14">
        <f>E80/20*Protokoll!$AC$5</f>
        <v>19.7699999999999</v>
      </c>
      <c r="G80" s="14">
        <f t="shared" si="9"/>
        <v>19.77</v>
      </c>
      <c r="H80">
        <f t="shared" si="16"/>
        <v>8.2279999999999104E-2</v>
      </c>
      <c r="I80" s="13">
        <f t="shared" si="10"/>
        <v>8.2279999999999104E-2</v>
      </c>
      <c r="J80">
        <f t="shared" si="14"/>
        <v>-0.59532000000000018</v>
      </c>
      <c r="K80" s="13">
        <f t="shared" si="15"/>
        <v>-0.29039999999999999</v>
      </c>
      <c r="M80">
        <f t="shared" si="11"/>
        <v>-0.59297480000000025</v>
      </c>
      <c r="N80">
        <f t="shared" si="12"/>
        <v>0</v>
      </c>
      <c r="O80">
        <f t="shared" si="13"/>
        <v>0</v>
      </c>
    </row>
    <row r="81" spans="5:15">
      <c r="E81" s="14">
        <v>19.779999999999799</v>
      </c>
      <c r="F81" s="14">
        <f>E81/20*Protokoll!$AC$5</f>
        <v>19.779999999999799</v>
      </c>
      <c r="G81" s="14">
        <f t="shared" si="9"/>
        <v>19.78</v>
      </c>
      <c r="H81">
        <f t="shared" si="16"/>
        <v>8.7119999999999864E-2</v>
      </c>
      <c r="I81" s="13">
        <f t="shared" si="10"/>
        <v>8.7119999999999864E-2</v>
      </c>
      <c r="J81">
        <f t="shared" si="14"/>
        <v>-0.59047999999999945</v>
      </c>
      <c r="K81" s="13">
        <f t="shared" si="15"/>
        <v>-0.29039999999999999</v>
      </c>
      <c r="M81">
        <f t="shared" si="11"/>
        <v>-0.58815386666666614</v>
      </c>
      <c r="N81">
        <f t="shared" si="12"/>
        <v>0</v>
      </c>
      <c r="O81">
        <f t="shared" si="13"/>
        <v>0</v>
      </c>
    </row>
    <row r="82" spans="5:15">
      <c r="E82" s="14">
        <v>19.7899999999998</v>
      </c>
      <c r="F82" s="14">
        <f>E82/20*Protokoll!$AC$5</f>
        <v>19.7899999999998</v>
      </c>
      <c r="G82" s="14">
        <f t="shared" si="9"/>
        <v>19.79</v>
      </c>
      <c r="H82">
        <f t="shared" si="16"/>
        <v>9.1959999999998904E-2</v>
      </c>
      <c r="I82" s="13">
        <f t="shared" si="10"/>
        <v>9.1959999999998904E-2</v>
      </c>
      <c r="J82">
        <f t="shared" si="14"/>
        <v>-0.58564000000000049</v>
      </c>
      <c r="K82" s="13">
        <f t="shared" si="15"/>
        <v>-0.29039999999999999</v>
      </c>
      <c r="M82">
        <f t="shared" si="11"/>
        <v>-0.5833329333333338</v>
      </c>
      <c r="N82">
        <f t="shared" si="12"/>
        <v>0</v>
      </c>
      <c r="O82">
        <f t="shared" si="13"/>
        <v>0</v>
      </c>
    </row>
    <row r="83" spans="5:15">
      <c r="E83" s="14">
        <v>19.799999999999802</v>
      </c>
      <c r="F83" s="14">
        <f>E83/20*Protokoll!$AC$5</f>
        <v>19.799999999999802</v>
      </c>
      <c r="G83" s="14">
        <f t="shared" si="9"/>
        <v>19.8</v>
      </c>
      <c r="H83">
        <f t="shared" si="16"/>
        <v>9.679999999999965E-2</v>
      </c>
      <c r="I83" s="13">
        <f t="shared" si="10"/>
        <v>9.679999999999965E-2</v>
      </c>
      <c r="J83">
        <f t="shared" si="14"/>
        <v>-0.58079999999999965</v>
      </c>
      <c r="K83" s="13">
        <f t="shared" si="15"/>
        <v>-0.29039999999999999</v>
      </c>
      <c r="M83">
        <f t="shared" si="11"/>
        <v>-0.57851199999999969</v>
      </c>
      <c r="N83">
        <f t="shared" si="12"/>
        <v>0</v>
      </c>
      <c r="O83">
        <f t="shared" si="13"/>
        <v>0</v>
      </c>
    </row>
    <row r="84" spans="5:15">
      <c r="E84" s="14">
        <v>19.8099999999998</v>
      </c>
      <c r="F84" s="14">
        <f>E84/20*Protokoll!$AC$5</f>
        <v>19.8099999999998</v>
      </c>
      <c r="G84" s="14">
        <f t="shared" si="9"/>
        <v>19.809999999999999</v>
      </c>
      <c r="H84">
        <f t="shared" si="16"/>
        <v>0.1016399999999987</v>
      </c>
      <c r="I84" s="13">
        <f t="shared" si="10"/>
        <v>0.1016399999999987</v>
      </c>
      <c r="J84">
        <f t="shared" si="14"/>
        <v>-0.57596000000000069</v>
      </c>
      <c r="K84" s="13">
        <f t="shared" si="15"/>
        <v>-0.29039999999999999</v>
      </c>
      <c r="M84">
        <f t="shared" si="11"/>
        <v>-0.57369106666666736</v>
      </c>
      <c r="N84">
        <f t="shared" si="12"/>
        <v>0</v>
      </c>
      <c r="O84">
        <f t="shared" si="13"/>
        <v>0</v>
      </c>
    </row>
    <row r="85" spans="5:15">
      <c r="E85" s="14">
        <v>19.819999999999801</v>
      </c>
      <c r="F85" s="14">
        <f>E85/20*Protokoll!$AC$5</f>
        <v>19.819999999999801</v>
      </c>
      <c r="G85" s="14">
        <f t="shared" si="9"/>
        <v>19.82</v>
      </c>
      <c r="H85">
        <f t="shared" si="16"/>
        <v>0.10647999999999946</v>
      </c>
      <c r="I85" s="13">
        <f t="shared" si="10"/>
        <v>0.10647999999999946</v>
      </c>
      <c r="J85">
        <f t="shared" si="14"/>
        <v>-0.57111999999999985</v>
      </c>
      <c r="K85" s="13">
        <f t="shared" si="15"/>
        <v>-0.29039999999999999</v>
      </c>
      <c r="M85">
        <f t="shared" si="11"/>
        <v>-0.56887013333333325</v>
      </c>
      <c r="N85">
        <f t="shared" si="12"/>
        <v>0</v>
      </c>
      <c r="O85">
        <f t="shared" si="13"/>
        <v>0</v>
      </c>
    </row>
    <row r="86" spans="5:15">
      <c r="E86" s="14">
        <v>19.829999999999799</v>
      </c>
      <c r="F86" s="14">
        <f>E86/20*Protokoll!$AC$5</f>
        <v>19.829999999999799</v>
      </c>
      <c r="G86" s="14">
        <f t="shared" si="9"/>
        <v>19.829999999999998</v>
      </c>
      <c r="H86">
        <f t="shared" si="16"/>
        <v>0.11131999999999849</v>
      </c>
      <c r="I86" s="13">
        <f t="shared" si="10"/>
        <v>0.11131999999999849</v>
      </c>
      <c r="J86">
        <f t="shared" si="14"/>
        <v>-0.56628000000000078</v>
      </c>
      <c r="K86" s="13">
        <f t="shared" si="15"/>
        <v>-0.29039999999999999</v>
      </c>
      <c r="M86">
        <f t="shared" si="11"/>
        <v>-0.56404920000000081</v>
      </c>
      <c r="N86">
        <f t="shared" si="12"/>
        <v>0</v>
      </c>
      <c r="O86">
        <f t="shared" si="13"/>
        <v>0</v>
      </c>
    </row>
    <row r="87" spans="5:15">
      <c r="E87" s="14">
        <v>19.839999999999801</v>
      </c>
      <c r="F87" s="14">
        <f>E87/20*Protokoll!$AC$5</f>
        <v>19.839999999999801</v>
      </c>
      <c r="G87" s="14">
        <f t="shared" si="9"/>
        <v>19.84</v>
      </c>
      <c r="H87">
        <f t="shared" si="16"/>
        <v>0.11615999999999925</v>
      </c>
      <c r="I87" s="13">
        <f t="shared" si="10"/>
        <v>0.11615999999999925</v>
      </c>
      <c r="J87">
        <f t="shared" si="14"/>
        <v>-0.56144000000000005</v>
      </c>
      <c r="K87" s="13">
        <f t="shared" si="15"/>
        <v>-0.29039999999999999</v>
      </c>
      <c r="M87">
        <f t="shared" si="11"/>
        <v>-0.55922826666666681</v>
      </c>
      <c r="N87">
        <f t="shared" si="12"/>
        <v>0</v>
      </c>
      <c r="O87">
        <f t="shared" si="13"/>
        <v>0</v>
      </c>
    </row>
    <row r="88" spans="5:15">
      <c r="E88" s="14">
        <v>19.849999999999799</v>
      </c>
      <c r="F88" s="14">
        <f>E88/20*Protokoll!$AC$5</f>
        <v>19.849999999999799</v>
      </c>
      <c r="G88" s="14">
        <f t="shared" si="9"/>
        <v>19.850000000000001</v>
      </c>
      <c r="H88">
        <f t="shared" si="16"/>
        <v>0.121</v>
      </c>
      <c r="I88" s="13">
        <f t="shared" si="10"/>
        <v>0.121</v>
      </c>
      <c r="J88">
        <f t="shared" si="14"/>
        <v>-0.55659999999999932</v>
      </c>
      <c r="K88" s="13">
        <f t="shared" si="15"/>
        <v>-0.29039999999999999</v>
      </c>
      <c r="M88">
        <f t="shared" si="11"/>
        <v>-0.5544073333333327</v>
      </c>
      <c r="N88">
        <f t="shared" si="12"/>
        <v>0</v>
      </c>
      <c r="O88">
        <f t="shared" si="13"/>
        <v>0</v>
      </c>
    </row>
    <row r="89" spans="5:15">
      <c r="E89" s="14">
        <v>19.8599999999998</v>
      </c>
      <c r="F89" s="14">
        <f>E89/20*Protokoll!$AC$5</f>
        <v>19.8599999999998</v>
      </c>
      <c r="G89" s="14">
        <f t="shared" si="9"/>
        <v>19.86</v>
      </c>
      <c r="H89">
        <f t="shared" si="16"/>
        <v>0.12583999999999904</v>
      </c>
      <c r="I89" s="13">
        <f t="shared" si="10"/>
        <v>0.12583999999999904</v>
      </c>
      <c r="J89">
        <f t="shared" si="14"/>
        <v>-0.55176000000000025</v>
      </c>
      <c r="K89" s="13">
        <f t="shared" si="15"/>
        <v>-0.29039999999999999</v>
      </c>
      <c r="M89">
        <f t="shared" si="11"/>
        <v>-0.54958640000000036</v>
      </c>
      <c r="N89">
        <f t="shared" si="12"/>
        <v>0</v>
      </c>
      <c r="O89">
        <f t="shared" si="13"/>
        <v>0</v>
      </c>
    </row>
    <row r="90" spans="5:15">
      <c r="E90" s="14">
        <v>19.869999999999798</v>
      </c>
      <c r="F90" s="14">
        <f>E90/20*Protokoll!$AC$5</f>
        <v>19.869999999999798</v>
      </c>
      <c r="G90" s="14">
        <f t="shared" si="9"/>
        <v>19.87</v>
      </c>
      <c r="H90">
        <f t="shared" si="16"/>
        <v>0.1306799999999998</v>
      </c>
      <c r="I90" s="13">
        <f t="shared" si="10"/>
        <v>0.1306799999999998</v>
      </c>
      <c r="J90">
        <f t="shared" si="14"/>
        <v>-0.54691999999999952</v>
      </c>
      <c r="K90" s="13">
        <f t="shared" si="15"/>
        <v>-0.29039999999999999</v>
      </c>
      <c r="M90">
        <f t="shared" si="11"/>
        <v>-0.54476546666666625</v>
      </c>
      <c r="N90">
        <f t="shared" si="12"/>
        <v>0</v>
      </c>
      <c r="O90">
        <f t="shared" si="13"/>
        <v>0</v>
      </c>
    </row>
    <row r="91" spans="5:15">
      <c r="E91" s="14">
        <v>19.8799999999998</v>
      </c>
      <c r="F91" s="14">
        <f>E91/20*Protokoll!$AC$5</f>
        <v>19.8799999999998</v>
      </c>
      <c r="G91" s="14">
        <f t="shared" si="9"/>
        <v>19.88</v>
      </c>
      <c r="H91">
        <f t="shared" si="16"/>
        <v>0.13551999999999884</v>
      </c>
      <c r="I91" s="13">
        <f t="shared" si="10"/>
        <v>0.13551999999999884</v>
      </c>
      <c r="J91">
        <f t="shared" si="14"/>
        <v>-0.54208000000000056</v>
      </c>
      <c r="K91" s="13">
        <f t="shared" si="15"/>
        <v>-0.29039999999999999</v>
      </c>
      <c r="M91">
        <f t="shared" si="11"/>
        <v>-0.53994453333333392</v>
      </c>
      <c r="N91">
        <f t="shared" si="12"/>
        <v>0</v>
      </c>
      <c r="O91">
        <f t="shared" si="13"/>
        <v>0</v>
      </c>
    </row>
    <row r="92" spans="5:15">
      <c r="E92" s="14">
        <v>19.889999999999802</v>
      </c>
      <c r="F92" s="14">
        <f>E92/20*Protokoll!$AC$5</f>
        <v>19.889999999999802</v>
      </c>
      <c r="G92" s="14">
        <f t="shared" si="9"/>
        <v>19.89</v>
      </c>
      <c r="H92">
        <f t="shared" si="16"/>
        <v>0.1403599999999996</v>
      </c>
      <c r="I92" s="13">
        <f t="shared" si="10"/>
        <v>0.1403599999999996</v>
      </c>
      <c r="J92">
        <f t="shared" si="14"/>
        <v>-0.53723999999999972</v>
      </c>
      <c r="K92" s="13">
        <f t="shared" si="15"/>
        <v>-0.29039999999999999</v>
      </c>
      <c r="M92">
        <f t="shared" si="11"/>
        <v>-0.53512359999999981</v>
      </c>
      <c r="N92">
        <f t="shared" si="12"/>
        <v>0</v>
      </c>
      <c r="O92">
        <f t="shared" si="13"/>
        <v>0</v>
      </c>
    </row>
    <row r="93" spans="5:15">
      <c r="E93" s="14">
        <v>19.8999999999998</v>
      </c>
      <c r="F93" s="14">
        <f>E93/20*Protokoll!$AC$5</f>
        <v>19.8999999999998</v>
      </c>
      <c r="G93" s="14">
        <f t="shared" si="9"/>
        <v>19.899999999999999</v>
      </c>
      <c r="H93">
        <f t="shared" si="16"/>
        <v>0.14519999999999864</v>
      </c>
      <c r="I93" s="13">
        <f t="shared" si="10"/>
        <v>0.14519999999999864</v>
      </c>
      <c r="J93">
        <f t="shared" si="14"/>
        <v>-0.53240000000000065</v>
      </c>
      <c r="K93" s="13">
        <f t="shared" si="15"/>
        <v>-0.29039999999999999</v>
      </c>
      <c r="M93">
        <f t="shared" si="11"/>
        <v>-0.53030266666666737</v>
      </c>
      <c r="N93">
        <f t="shared" si="12"/>
        <v>0</v>
      </c>
      <c r="O93">
        <f t="shared" si="13"/>
        <v>0</v>
      </c>
    </row>
    <row r="94" spans="5:15">
      <c r="E94" s="14">
        <v>19.909999999999801</v>
      </c>
      <c r="F94" s="14">
        <f>E94/20*Protokoll!$AC$5</f>
        <v>19.909999999999801</v>
      </c>
      <c r="G94" s="14">
        <f t="shared" si="9"/>
        <v>19.91</v>
      </c>
      <c r="H94">
        <f t="shared" si="16"/>
        <v>0.1500399999999994</v>
      </c>
      <c r="I94" s="13">
        <f t="shared" si="10"/>
        <v>0.1500399999999994</v>
      </c>
      <c r="J94">
        <f t="shared" si="14"/>
        <v>-0.52755999999999992</v>
      </c>
      <c r="K94" s="13">
        <f t="shared" si="15"/>
        <v>-0.29039999999999999</v>
      </c>
      <c r="M94">
        <f t="shared" si="11"/>
        <v>-0.52548173333333326</v>
      </c>
      <c r="N94">
        <f t="shared" si="12"/>
        <v>0</v>
      </c>
      <c r="O94">
        <f t="shared" si="13"/>
        <v>0</v>
      </c>
    </row>
    <row r="95" spans="5:15">
      <c r="E95" s="14">
        <v>19.919999999999799</v>
      </c>
      <c r="F95" s="14">
        <f>E95/20*Protokoll!$AC$5</f>
        <v>19.919999999999799</v>
      </c>
      <c r="G95" s="14">
        <f t="shared" si="9"/>
        <v>19.920000000000002</v>
      </c>
      <c r="H95">
        <f t="shared" si="16"/>
        <v>0.15488000000000016</v>
      </c>
      <c r="I95" s="13">
        <f t="shared" si="10"/>
        <v>0.15488000000000016</v>
      </c>
      <c r="J95">
        <f t="shared" si="14"/>
        <v>-0.52271999999999919</v>
      </c>
      <c r="K95" s="13">
        <f t="shared" si="15"/>
        <v>-0.29039999999999999</v>
      </c>
      <c r="M95">
        <f t="shared" si="11"/>
        <v>-0.52066079999999915</v>
      </c>
      <c r="N95">
        <f t="shared" si="12"/>
        <v>0</v>
      </c>
      <c r="O95">
        <f t="shared" si="13"/>
        <v>0</v>
      </c>
    </row>
    <row r="96" spans="5:15">
      <c r="E96" s="14">
        <v>19.929999999999801</v>
      </c>
      <c r="F96" s="14">
        <f>E96/20*Protokoll!$AC$5</f>
        <v>19.929999999999801</v>
      </c>
      <c r="G96" s="14">
        <f t="shared" si="9"/>
        <v>19.93</v>
      </c>
      <c r="H96">
        <f t="shared" si="16"/>
        <v>0.15971999999999917</v>
      </c>
      <c r="I96" s="13">
        <f t="shared" si="10"/>
        <v>0.15971999999999917</v>
      </c>
      <c r="J96">
        <f t="shared" si="14"/>
        <v>-0.51788000000000012</v>
      </c>
      <c r="K96" s="13">
        <f t="shared" si="15"/>
        <v>-0.29039999999999999</v>
      </c>
      <c r="M96">
        <f t="shared" si="11"/>
        <v>-0.51583986666666681</v>
      </c>
      <c r="N96">
        <f t="shared" si="12"/>
        <v>0</v>
      </c>
      <c r="O96">
        <f t="shared" si="13"/>
        <v>0</v>
      </c>
    </row>
    <row r="97" spans="5:15">
      <c r="E97" s="14">
        <v>19.939999999999799</v>
      </c>
      <c r="F97" s="14">
        <f>E97/20*Protokoll!$AC$5</f>
        <v>19.939999999999799</v>
      </c>
      <c r="G97" s="14">
        <f t="shared" si="9"/>
        <v>19.940000000000001</v>
      </c>
      <c r="H97">
        <f t="shared" si="16"/>
        <v>0.16455999999999993</v>
      </c>
      <c r="I97" s="13">
        <f t="shared" si="10"/>
        <v>0.16455999999999993</v>
      </c>
      <c r="J97">
        <f t="shared" si="14"/>
        <v>-0.51303999999999939</v>
      </c>
      <c r="K97" s="13">
        <f t="shared" si="15"/>
        <v>-0.29039999999999999</v>
      </c>
      <c r="M97">
        <f t="shared" si="11"/>
        <v>-0.51101893333333281</v>
      </c>
      <c r="N97">
        <f t="shared" si="12"/>
        <v>0</v>
      </c>
      <c r="O97">
        <f t="shared" si="13"/>
        <v>0</v>
      </c>
    </row>
    <row r="98" spans="5:15">
      <c r="E98" s="14">
        <v>19.9499999999998</v>
      </c>
      <c r="F98" s="14">
        <f>E98/20*Protokoll!$AC$5</f>
        <v>19.9499999999998</v>
      </c>
      <c r="G98" s="14">
        <f t="shared" si="9"/>
        <v>19.95</v>
      </c>
      <c r="H98">
        <f t="shared" si="16"/>
        <v>0.16939999999999897</v>
      </c>
      <c r="I98" s="13">
        <f t="shared" si="10"/>
        <v>0.16939999999999897</v>
      </c>
      <c r="J98">
        <f t="shared" si="14"/>
        <v>-0.50820000000000032</v>
      </c>
      <c r="K98" s="13">
        <f t="shared" si="15"/>
        <v>-0.29039999999999999</v>
      </c>
      <c r="M98">
        <f t="shared" si="11"/>
        <v>-0.50619800000000037</v>
      </c>
      <c r="N98">
        <f t="shared" si="12"/>
        <v>0</v>
      </c>
      <c r="O98">
        <f t="shared" si="13"/>
        <v>0</v>
      </c>
    </row>
    <row r="99" spans="5:15">
      <c r="E99" s="14">
        <v>19.959999999999798</v>
      </c>
      <c r="F99" s="14">
        <f>E99/20*Protokoll!$AC$5</f>
        <v>19.959999999999798</v>
      </c>
      <c r="G99" s="14">
        <f t="shared" si="9"/>
        <v>19.96</v>
      </c>
      <c r="H99">
        <f t="shared" si="16"/>
        <v>0.17423999999999973</v>
      </c>
      <c r="I99" s="13">
        <f t="shared" si="10"/>
        <v>0.17423999999999973</v>
      </c>
      <c r="J99">
        <f t="shared" si="14"/>
        <v>-0.50335999999999959</v>
      </c>
      <c r="K99" s="13">
        <f t="shared" si="15"/>
        <v>-0.29039999999999999</v>
      </c>
      <c r="M99">
        <f t="shared" ref="M99:M130" si="17">-0.3287*$B$2*(($B$9-G99)/$B$15)</f>
        <v>-0.50137706666666637</v>
      </c>
      <c r="N99">
        <f t="shared" si="12"/>
        <v>0</v>
      </c>
      <c r="O99">
        <f t="shared" si="13"/>
        <v>0</v>
      </c>
    </row>
    <row r="100" spans="5:15">
      <c r="E100" s="14">
        <v>19.9699999999998</v>
      </c>
      <c r="F100" s="14">
        <f>E100/20*Protokoll!$AC$5</f>
        <v>19.9699999999998</v>
      </c>
      <c r="G100" s="14">
        <f t="shared" si="9"/>
        <v>19.97</v>
      </c>
      <c r="H100">
        <f t="shared" si="16"/>
        <v>0.17907999999999877</v>
      </c>
      <c r="I100" s="13">
        <f t="shared" si="10"/>
        <v>0.17907999999999877</v>
      </c>
      <c r="J100">
        <f t="shared" si="14"/>
        <v>-0.49852000000000052</v>
      </c>
      <c r="K100" s="13">
        <f t="shared" si="15"/>
        <v>-0.29039999999999999</v>
      </c>
      <c r="M100">
        <f t="shared" si="17"/>
        <v>-0.49655613333333393</v>
      </c>
      <c r="N100">
        <f t="shared" si="12"/>
        <v>0</v>
      </c>
      <c r="O100">
        <f t="shared" si="13"/>
        <v>0</v>
      </c>
    </row>
    <row r="101" spans="5:15">
      <c r="E101" s="14">
        <v>19.979999999999801</v>
      </c>
      <c r="F101" s="14">
        <f>E101/20*Protokoll!$AC$5</f>
        <v>19.979999999999801</v>
      </c>
      <c r="G101" s="14">
        <f t="shared" si="9"/>
        <v>19.98</v>
      </c>
      <c r="H101">
        <f t="shared" si="16"/>
        <v>0.18391999999999953</v>
      </c>
      <c r="I101" s="13">
        <f t="shared" si="10"/>
        <v>0.18391999999999953</v>
      </c>
      <c r="J101">
        <f t="shared" si="14"/>
        <v>-0.49367999999999979</v>
      </c>
      <c r="K101" s="13">
        <f t="shared" si="15"/>
        <v>-0.29039999999999999</v>
      </c>
      <c r="M101">
        <f t="shared" si="17"/>
        <v>-0.49173519999999982</v>
      </c>
      <c r="N101">
        <f t="shared" si="12"/>
        <v>0</v>
      </c>
      <c r="O101">
        <f t="shared" si="13"/>
        <v>0</v>
      </c>
    </row>
    <row r="102" spans="5:15">
      <c r="E102" s="14">
        <v>19.989999999999799</v>
      </c>
      <c r="F102" s="14">
        <f>E102/20*Protokoll!$AC$5</f>
        <v>19.989999999999799</v>
      </c>
      <c r="G102" s="14">
        <f t="shared" si="9"/>
        <v>19.989999999999998</v>
      </c>
      <c r="H102">
        <f t="shared" si="16"/>
        <v>0.18875999999999854</v>
      </c>
      <c r="I102" s="13">
        <f t="shared" si="10"/>
        <v>0.18875999999999854</v>
      </c>
      <c r="J102">
        <f t="shared" si="14"/>
        <v>-0.48884000000000077</v>
      </c>
      <c r="K102" s="13">
        <f t="shared" si="15"/>
        <v>-0.29039999999999999</v>
      </c>
      <c r="M102">
        <f t="shared" si="17"/>
        <v>-0.48691426666666748</v>
      </c>
      <c r="N102">
        <f t="shared" si="12"/>
        <v>0</v>
      </c>
      <c r="O102">
        <f t="shared" si="13"/>
        <v>0</v>
      </c>
    </row>
    <row r="103" spans="5:15">
      <c r="E103" s="14">
        <v>19.999999999999801</v>
      </c>
      <c r="F103" s="14">
        <f>E103/20*Protokoll!$AC$5</f>
        <v>19.999999999999801</v>
      </c>
      <c r="G103" s="14">
        <f t="shared" si="9"/>
        <v>20</v>
      </c>
      <c r="H103">
        <f t="shared" si="16"/>
        <v>0.1935999999999993</v>
      </c>
      <c r="I103" s="13">
        <f t="shared" si="10"/>
        <v>0.1935999999999993</v>
      </c>
      <c r="J103">
        <f t="shared" si="14"/>
        <v>-0.48399999999999999</v>
      </c>
      <c r="K103" s="13">
        <f t="shared" si="15"/>
        <v>-0.29039999999999999</v>
      </c>
      <c r="M103">
        <f t="shared" si="17"/>
        <v>-0.48209333333333337</v>
      </c>
      <c r="N103">
        <f t="shared" si="12"/>
        <v>0</v>
      </c>
      <c r="O103">
        <f t="shared" si="13"/>
        <v>0</v>
      </c>
    </row>
    <row r="104" spans="5:15">
      <c r="E104" s="14">
        <v>20.009999999999799</v>
      </c>
      <c r="F104" s="14">
        <f>E104/20*Protokoll!$AC$5</f>
        <v>20.009999999999799</v>
      </c>
      <c r="G104" s="14">
        <f t="shared" si="9"/>
        <v>20.010000000000002</v>
      </c>
      <c r="H104">
        <f t="shared" si="16"/>
        <v>0.19844000000000006</v>
      </c>
      <c r="I104" s="13">
        <f t="shared" si="10"/>
        <v>0.19844000000000006</v>
      </c>
      <c r="J104">
        <f t="shared" si="14"/>
        <v>-0.47915999999999925</v>
      </c>
      <c r="K104" s="13">
        <f t="shared" si="15"/>
        <v>-0.29039999999999999</v>
      </c>
      <c r="M104">
        <f t="shared" si="17"/>
        <v>-0.47727239999999926</v>
      </c>
      <c r="N104">
        <f t="shared" si="12"/>
        <v>0</v>
      </c>
      <c r="O104">
        <f t="shared" si="13"/>
        <v>0</v>
      </c>
    </row>
    <row r="105" spans="5:15">
      <c r="E105" s="14">
        <v>20.019999999999801</v>
      </c>
      <c r="F105" s="14">
        <f>E105/20*Protokoll!$AC$5</f>
        <v>20.019999999999804</v>
      </c>
      <c r="G105" s="14">
        <f t="shared" si="9"/>
        <v>20.02</v>
      </c>
      <c r="H105">
        <f t="shared" si="16"/>
        <v>0.2032799999999991</v>
      </c>
      <c r="I105" s="13">
        <f t="shared" si="10"/>
        <v>0.2032799999999991</v>
      </c>
      <c r="J105">
        <f t="shared" si="14"/>
        <v>-0.47432000000000024</v>
      </c>
      <c r="K105" s="13">
        <f t="shared" si="15"/>
        <v>-0.29039999999999999</v>
      </c>
      <c r="M105">
        <f t="shared" si="17"/>
        <v>-0.47245146666666693</v>
      </c>
      <c r="N105">
        <f t="shared" si="12"/>
        <v>0</v>
      </c>
      <c r="O105">
        <f t="shared" si="13"/>
        <v>0</v>
      </c>
    </row>
    <row r="106" spans="5:15">
      <c r="E106" s="14">
        <v>20.029999999999799</v>
      </c>
      <c r="F106" s="14">
        <f>E106/20*Protokoll!$AC$5</f>
        <v>20.029999999999795</v>
      </c>
      <c r="G106" s="14">
        <f t="shared" si="9"/>
        <v>20.03</v>
      </c>
      <c r="H106">
        <f t="shared" si="16"/>
        <v>0.20811999999999986</v>
      </c>
      <c r="I106" s="13">
        <f t="shared" si="10"/>
        <v>0.20811999999999986</v>
      </c>
      <c r="J106">
        <f t="shared" si="14"/>
        <v>-0.46947999999999945</v>
      </c>
      <c r="K106" s="13">
        <f t="shared" si="15"/>
        <v>-0.29039999999999999</v>
      </c>
      <c r="M106">
        <f t="shared" si="17"/>
        <v>-0.46763053333333288</v>
      </c>
      <c r="N106">
        <f t="shared" si="12"/>
        <v>0</v>
      </c>
      <c r="O106">
        <f t="shared" si="13"/>
        <v>0</v>
      </c>
    </row>
    <row r="107" spans="5:15">
      <c r="E107" s="14">
        <v>20.0399999999998</v>
      </c>
      <c r="F107" s="14">
        <f>E107/20*Protokoll!$AC$5</f>
        <v>20.0399999999998</v>
      </c>
      <c r="G107" s="14">
        <f t="shared" si="9"/>
        <v>20.04</v>
      </c>
      <c r="H107">
        <f t="shared" si="16"/>
        <v>0.21295999999999893</v>
      </c>
      <c r="I107" s="13">
        <f t="shared" si="10"/>
        <v>0.21295999999999893</v>
      </c>
      <c r="J107">
        <f t="shared" si="14"/>
        <v>-0.46464000000000039</v>
      </c>
      <c r="K107" s="13">
        <f t="shared" si="15"/>
        <v>-0.29039999999999999</v>
      </c>
      <c r="M107">
        <f t="shared" si="17"/>
        <v>-0.46280960000000043</v>
      </c>
      <c r="N107">
        <f t="shared" si="12"/>
        <v>0</v>
      </c>
      <c r="O107">
        <f t="shared" si="13"/>
        <v>0</v>
      </c>
    </row>
    <row r="108" spans="5:15">
      <c r="E108" s="14">
        <v>20.049999999999802</v>
      </c>
      <c r="F108" s="14">
        <f>E108/20*Protokoll!$AC$5</f>
        <v>20.049999999999805</v>
      </c>
      <c r="G108" s="14">
        <f t="shared" si="9"/>
        <v>20.05</v>
      </c>
      <c r="H108">
        <f t="shared" si="16"/>
        <v>0.21779999999999966</v>
      </c>
      <c r="I108" s="13">
        <f t="shared" si="10"/>
        <v>0.21779999999999966</v>
      </c>
      <c r="J108">
        <f t="shared" si="14"/>
        <v>-0.45979999999999965</v>
      </c>
      <c r="K108" s="13">
        <f t="shared" si="15"/>
        <v>-0.29039999999999999</v>
      </c>
      <c r="M108">
        <f t="shared" si="17"/>
        <v>-0.45798866666666632</v>
      </c>
      <c r="N108">
        <f t="shared" si="12"/>
        <v>0</v>
      </c>
      <c r="O108">
        <f t="shared" si="13"/>
        <v>0</v>
      </c>
    </row>
    <row r="109" spans="5:15">
      <c r="E109" s="14">
        <v>20.0599999999998</v>
      </c>
      <c r="F109" s="14">
        <f>E109/20*Protokoll!$AC$5</f>
        <v>20.059999999999796</v>
      </c>
      <c r="G109" s="14">
        <f t="shared" si="9"/>
        <v>20.059999999999999</v>
      </c>
      <c r="H109">
        <f t="shared" si="16"/>
        <v>0.2226399999999987</v>
      </c>
      <c r="I109" s="13">
        <f t="shared" si="10"/>
        <v>0.2226399999999987</v>
      </c>
      <c r="J109">
        <f t="shared" si="14"/>
        <v>-0.45496000000000064</v>
      </c>
      <c r="K109" s="13">
        <f t="shared" si="15"/>
        <v>-0.29039999999999999</v>
      </c>
      <c r="M109">
        <f t="shared" si="17"/>
        <v>-0.45316773333333399</v>
      </c>
      <c r="N109">
        <f t="shared" si="12"/>
        <v>0</v>
      </c>
      <c r="O109">
        <f t="shared" si="13"/>
        <v>0</v>
      </c>
    </row>
    <row r="110" spans="5:15">
      <c r="E110" s="14">
        <v>20.069999999999801</v>
      </c>
      <c r="F110" s="14">
        <f>E110/20*Protokoll!$AC$5</f>
        <v>20.069999999999801</v>
      </c>
      <c r="G110" s="14">
        <f t="shared" si="9"/>
        <v>20.07</v>
      </c>
      <c r="H110">
        <f t="shared" si="16"/>
        <v>0.22747999999999943</v>
      </c>
      <c r="I110" s="13">
        <f t="shared" si="10"/>
        <v>0.22747999999999943</v>
      </c>
      <c r="J110">
        <f t="shared" si="14"/>
        <v>-0.45011999999999985</v>
      </c>
      <c r="K110" s="13">
        <f t="shared" si="15"/>
        <v>-0.29039999999999999</v>
      </c>
      <c r="M110">
        <f t="shared" si="17"/>
        <v>-0.44834679999999988</v>
      </c>
      <c r="N110">
        <f t="shared" si="12"/>
        <v>0</v>
      </c>
      <c r="O110">
        <f t="shared" si="13"/>
        <v>0</v>
      </c>
    </row>
    <row r="111" spans="5:15">
      <c r="E111" s="14">
        <v>20.079999999999799</v>
      </c>
      <c r="F111" s="14">
        <f>E111/20*Protokoll!$AC$5</f>
        <v>20.079999999999799</v>
      </c>
      <c r="G111" s="14">
        <f t="shared" si="9"/>
        <v>20.079999999999998</v>
      </c>
      <c r="H111">
        <f t="shared" si="16"/>
        <v>0.2323199999999985</v>
      </c>
      <c r="I111" s="13">
        <f t="shared" si="10"/>
        <v>0.2323199999999985</v>
      </c>
      <c r="J111">
        <f t="shared" si="14"/>
        <v>-0.44528000000000084</v>
      </c>
      <c r="K111" s="13">
        <f t="shared" si="15"/>
        <v>-0.29039999999999999</v>
      </c>
      <c r="M111">
        <f t="shared" si="17"/>
        <v>-0.44352586666666755</v>
      </c>
      <c r="N111">
        <f t="shared" si="12"/>
        <v>0</v>
      </c>
      <c r="O111">
        <f t="shared" si="13"/>
        <v>0</v>
      </c>
    </row>
    <row r="112" spans="5:15">
      <c r="E112" s="14">
        <v>20.089999999999801</v>
      </c>
      <c r="F112" s="14">
        <f>E112/20*Protokoll!$AC$5</f>
        <v>20.089999999999797</v>
      </c>
      <c r="G112" s="14">
        <f t="shared" si="9"/>
        <v>20.09</v>
      </c>
      <c r="H112">
        <f t="shared" si="16"/>
        <v>0.23715999999999926</v>
      </c>
      <c r="I112" s="13">
        <f t="shared" si="10"/>
        <v>0.23715999999999926</v>
      </c>
      <c r="J112">
        <f t="shared" si="14"/>
        <v>-0.44044000000000011</v>
      </c>
      <c r="K112" s="13">
        <f t="shared" si="15"/>
        <v>-0.29039999999999999</v>
      </c>
      <c r="M112">
        <f t="shared" si="17"/>
        <v>-0.43870493333333349</v>
      </c>
      <c r="N112">
        <f t="shared" si="12"/>
        <v>0</v>
      </c>
      <c r="O112">
        <f t="shared" si="13"/>
        <v>0</v>
      </c>
    </row>
    <row r="113" spans="5:15">
      <c r="E113" s="14">
        <v>20.099999999999799</v>
      </c>
      <c r="F113" s="14">
        <f>E113/20*Protokoll!$AC$5</f>
        <v>20.099999999999799</v>
      </c>
      <c r="G113" s="14">
        <f t="shared" si="9"/>
        <v>20.100000000000001</v>
      </c>
      <c r="H113">
        <f t="shared" si="16"/>
        <v>0.24199999999999999</v>
      </c>
      <c r="I113" s="13">
        <f t="shared" si="10"/>
        <v>0.24199999999999999</v>
      </c>
      <c r="J113">
        <f t="shared" si="14"/>
        <v>-0.43559999999999932</v>
      </c>
      <c r="K113" s="13">
        <f t="shared" si="15"/>
        <v>-0.29039999999999999</v>
      </c>
      <c r="M113">
        <f t="shared" si="17"/>
        <v>-0.43388399999999938</v>
      </c>
      <c r="N113">
        <f t="shared" si="12"/>
        <v>0</v>
      </c>
      <c r="O113">
        <f t="shared" si="13"/>
        <v>0</v>
      </c>
    </row>
    <row r="114" spans="5:15">
      <c r="E114" s="14">
        <v>20.1099999999998</v>
      </c>
      <c r="F114" s="14">
        <f>E114/20*Protokoll!$AC$5</f>
        <v>20.1099999999998</v>
      </c>
      <c r="G114" s="14">
        <f t="shared" si="9"/>
        <v>20.11</v>
      </c>
      <c r="H114">
        <f t="shared" si="16"/>
        <v>0.24683999999999906</v>
      </c>
      <c r="I114" s="13">
        <f t="shared" si="10"/>
        <v>0.24683999999999906</v>
      </c>
      <c r="J114">
        <f t="shared" si="14"/>
        <v>-0.43076000000000025</v>
      </c>
      <c r="K114" s="13">
        <f t="shared" si="15"/>
        <v>-0.29039999999999999</v>
      </c>
      <c r="M114">
        <f t="shared" si="17"/>
        <v>-0.42906306666666694</v>
      </c>
      <c r="N114">
        <f t="shared" si="12"/>
        <v>0</v>
      </c>
      <c r="O114">
        <f t="shared" si="13"/>
        <v>0</v>
      </c>
    </row>
    <row r="115" spans="5:15">
      <c r="E115" s="14">
        <v>20.119999999999798</v>
      </c>
      <c r="F115" s="14">
        <f>E115/20*Protokoll!$AC$5</f>
        <v>20.119999999999798</v>
      </c>
      <c r="G115" s="14">
        <f t="shared" si="9"/>
        <v>20.12</v>
      </c>
      <c r="H115">
        <f t="shared" si="16"/>
        <v>0.25167999999999979</v>
      </c>
      <c r="I115" s="13">
        <f t="shared" si="10"/>
        <v>0.25167999999999979</v>
      </c>
      <c r="J115">
        <f t="shared" si="14"/>
        <v>-0.42591999999999952</v>
      </c>
      <c r="K115" s="13">
        <f t="shared" si="15"/>
        <v>-0.29039999999999999</v>
      </c>
      <c r="M115">
        <f t="shared" si="17"/>
        <v>-0.42424213333333288</v>
      </c>
      <c r="N115">
        <f t="shared" si="12"/>
        <v>0</v>
      </c>
      <c r="O115">
        <f t="shared" si="13"/>
        <v>0</v>
      </c>
    </row>
    <row r="116" spans="5:15">
      <c r="E116" s="14">
        <v>20.1299999999998</v>
      </c>
      <c r="F116" s="14">
        <f>E116/20*Protokoll!$AC$5</f>
        <v>20.1299999999998</v>
      </c>
      <c r="G116" s="14">
        <f t="shared" si="9"/>
        <v>20.13</v>
      </c>
      <c r="H116">
        <f t="shared" si="16"/>
        <v>0.2565199999999988</v>
      </c>
      <c r="I116" s="13">
        <f t="shared" si="10"/>
        <v>0.2565199999999988</v>
      </c>
      <c r="J116">
        <f t="shared" si="14"/>
        <v>-0.42108000000000051</v>
      </c>
      <c r="K116" s="13">
        <f t="shared" si="15"/>
        <v>-0.29039999999999999</v>
      </c>
      <c r="M116">
        <f t="shared" si="17"/>
        <v>-0.41942120000000049</v>
      </c>
      <c r="N116">
        <f t="shared" si="12"/>
        <v>0</v>
      </c>
      <c r="O116">
        <f t="shared" si="13"/>
        <v>0</v>
      </c>
    </row>
    <row r="117" spans="5:15">
      <c r="E117" s="14">
        <v>20.139999999999802</v>
      </c>
      <c r="F117" s="14">
        <f>E117/20*Protokoll!$AC$5</f>
        <v>20.139999999999802</v>
      </c>
      <c r="G117" s="14">
        <f t="shared" si="9"/>
        <v>20.14</v>
      </c>
      <c r="H117">
        <f t="shared" si="16"/>
        <v>0.26135999999999959</v>
      </c>
      <c r="I117" s="13">
        <f t="shared" si="10"/>
        <v>0.26135999999999959</v>
      </c>
      <c r="J117">
        <f t="shared" si="14"/>
        <v>-0.41623999999999972</v>
      </c>
      <c r="K117" s="13">
        <f t="shared" si="15"/>
        <v>-0.29039999999999999</v>
      </c>
      <c r="M117">
        <f t="shared" si="17"/>
        <v>-0.41460026666666644</v>
      </c>
      <c r="N117">
        <f t="shared" si="12"/>
        <v>0</v>
      </c>
      <c r="O117">
        <f t="shared" si="13"/>
        <v>0</v>
      </c>
    </row>
    <row r="118" spans="5:15">
      <c r="E118" s="14">
        <v>20.1499999999998</v>
      </c>
      <c r="F118" s="14">
        <f>E118/20*Protokoll!$AC$5</f>
        <v>20.1499999999998</v>
      </c>
      <c r="G118" s="14">
        <f t="shared" si="9"/>
        <v>20.149999999999999</v>
      </c>
      <c r="H118">
        <f t="shared" si="16"/>
        <v>0.2661999999999986</v>
      </c>
      <c r="I118" s="13">
        <f t="shared" si="10"/>
        <v>0.2661999999999986</v>
      </c>
      <c r="J118">
        <f t="shared" si="14"/>
        <v>-0.41140000000000071</v>
      </c>
      <c r="K118" s="13">
        <f t="shared" si="15"/>
        <v>-0.29039999999999999</v>
      </c>
      <c r="M118">
        <f t="shared" si="17"/>
        <v>-0.40977933333333411</v>
      </c>
      <c r="N118">
        <f t="shared" si="12"/>
        <v>0</v>
      </c>
      <c r="O118">
        <f t="shared" si="13"/>
        <v>0</v>
      </c>
    </row>
    <row r="119" spans="5:15">
      <c r="E119" s="14">
        <v>20.159999999999801</v>
      </c>
      <c r="F119" s="14">
        <f>E119/20*Protokoll!$AC$5</f>
        <v>20.159999999999801</v>
      </c>
      <c r="G119" s="14">
        <f t="shared" si="9"/>
        <v>20.16</v>
      </c>
      <c r="H119">
        <f t="shared" si="16"/>
        <v>0.27103999999999939</v>
      </c>
      <c r="I119" s="13">
        <f t="shared" si="10"/>
        <v>0.27103999999999939</v>
      </c>
      <c r="J119">
        <f t="shared" si="14"/>
        <v>-0.40655999999999998</v>
      </c>
      <c r="K119" s="13">
        <f t="shared" si="15"/>
        <v>-0.29039999999999999</v>
      </c>
      <c r="M119">
        <f t="shared" si="17"/>
        <v>-0.4049584</v>
      </c>
      <c r="N119">
        <f t="shared" si="12"/>
        <v>0</v>
      </c>
      <c r="O119">
        <f t="shared" si="13"/>
        <v>0</v>
      </c>
    </row>
    <row r="120" spans="5:15">
      <c r="E120" s="14">
        <v>20.169999999999799</v>
      </c>
      <c r="F120" s="14">
        <f>E120/20*Protokoll!$AC$5</f>
        <v>20.169999999999799</v>
      </c>
      <c r="G120" s="14">
        <f t="shared" si="9"/>
        <v>20.170000000000002</v>
      </c>
      <c r="H120">
        <f t="shared" si="16"/>
        <v>0.27588000000000013</v>
      </c>
      <c r="I120" s="13">
        <f t="shared" si="10"/>
        <v>0.27588000000000013</v>
      </c>
      <c r="J120">
        <f t="shared" si="14"/>
        <v>-0.40171999999999919</v>
      </c>
      <c r="K120" s="13">
        <f t="shared" si="15"/>
        <v>-0.29039999999999999</v>
      </c>
      <c r="M120">
        <f t="shared" si="17"/>
        <v>-0.40013746666666589</v>
      </c>
      <c r="N120">
        <f t="shared" si="12"/>
        <v>0</v>
      </c>
      <c r="O120">
        <f t="shared" si="13"/>
        <v>0</v>
      </c>
    </row>
    <row r="121" spans="5:15">
      <c r="E121" s="14">
        <v>20.179999999999801</v>
      </c>
      <c r="F121" s="14">
        <f>E121/20*Protokoll!$AC$5</f>
        <v>20.179999999999801</v>
      </c>
      <c r="G121" s="14">
        <f t="shared" si="9"/>
        <v>20.18</v>
      </c>
      <c r="H121">
        <f t="shared" si="16"/>
        <v>0.28071999999999919</v>
      </c>
      <c r="I121" s="13">
        <f t="shared" si="10"/>
        <v>0.28071999999999919</v>
      </c>
      <c r="J121">
        <f t="shared" si="14"/>
        <v>-0.39688000000000012</v>
      </c>
      <c r="K121" s="13">
        <f t="shared" si="15"/>
        <v>-0.29039999999999999</v>
      </c>
      <c r="M121">
        <f t="shared" si="17"/>
        <v>-0.3953165333333335</v>
      </c>
      <c r="N121">
        <f t="shared" si="12"/>
        <v>0</v>
      </c>
      <c r="O121">
        <f t="shared" si="13"/>
        <v>0</v>
      </c>
    </row>
    <row r="122" spans="5:15">
      <c r="E122" s="14">
        <v>20.189999999999799</v>
      </c>
      <c r="F122" s="14">
        <f>E122/20*Protokoll!$AC$5</f>
        <v>20.189999999999799</v>
      </c>
      <c r="G122" s="14">
        <f t="shared" si="9"/>
        <v>20.190000000000001</v>
      </c>
      <c r="H122">
        <f t="shared" si="16"/>
        <v>0.28555999999999993</v>
      </c>
      <c r="I122" s="13">
        <f t="shared" si="10"/>
        <v>0.28555999999999993</v>
      </c>
      <c r="J122">
        <f t="shared" si="14"/>
        <v>-0.39203999999999939</v>
      </c>
      <c r="K122" s="13">
        <f t="shared" si="15"/>
        <v>-0.29039999999999999</v>
      </c>
      <c r="M122">
        <f t="shared" si="17"/>
        <v>-0.39049559999999939</v>
      </c>
      <c r="N122">
        <f t="shared" si="12"/>
        <v>0</v>
      </c>
      <c r="O122">
        <f t="shared" si="13"/>
        <v>0</v>
      </c>
    </row>
    <row r="123" spans="5:15">
      <c r="E123" s="14">
        <v>20.1999999999998</v>
      </c>
      <c r="F123" s="14">
        <f>E123/20*Protokoll!$AC$5</f>
        <v>20.1999999999998</v>
      </c>
      <c r="G123" s="14">
        <f t="shared" si="9"/>
        <v>20.2</v>
      </c>
      <c r="H123">
        <f t="shared" si="16"/>
        <v>0.29039999999999894</v>
      </c>
      <c r="I123" s="13">
        <f t="shared" si="10"/>
        <v>0.29039999999999894</v>
      </c>
      <c r="J123">
        <f t="shared" si="14"/>
        <v>-0.38720000000000038</v>
      </c>
      <c r="K123" s="13">
        <f t="shared" si="15"/>
        <v>-0.29039999999999999</v>
      </c>
      <c r="M123">
        <f t="shared" si="17"/>
        <v>-0.38567466666666705</v>
      </c>
      <c r="N123">
        <f t="shared" si="12"/>
        <v>0</v>
      </c>
      <c r="O123">
        <f t="shared" si="13"/>
        <v>0</v>
      </c>
    </row>
    <row r="124" spans="5:15">
      <c r="E124" s="14">
        <v>20.209999999999798</v>
      </c>
      <c r="F124" s="14">
        <f>E124/20*Protokoll!$AC$5</f>
        <v>20.209999999999798</v>
      </c>
      <c r="G124" s="14">
        <f t="shared" si="9"/>
        <v>20.21</v>
      </c>
      <c r="H124">
        <f t="shared" si="16"/>
        <v>0.29523999999999972</v>
      </c>
      <c r="I124" s="13">
        <f t="shared" si="10"/>
        <v>0.29039999999999999</v>
      </c>
      <c r="J124">
        <f t="shared" si="14"/>
        <v>-0.38235999999999959</v>
      </c>
      <c r="K124" s="13">
        <f t="shared" si="15"/>
        <v>-0.29039999999999999</v>
      </c>
      <c r="M124">
        <f t="shared" si="17"/>
        <v>-0.38085373333333294</v>
      </c>
      <c r="N124">
        <f t="shared" si="12"/>
        <v>0</v>
      </c>
      <c r="O124">
        <f t="shared" si="13"/>
        <v>0</v>
      </c>
    </row>
    <row r="125" spans="5:15">
      <c r="E125" s="14">
        <v>20.2199999999998</v>
      </c>
      <c r="F125" s="14">
        <f>E125/20*Protokoll!$AC$5</f>
        <v>20.2199999999998</v>
      </c>
      <c r="G125" s="14">
        <f t="shared" si="9"/>
        <v>20.22</v>
      </c>
      <c r="H125">
        <f t="shared" si="16"/>
        <v>0.30007999999999879</v>
      </c>
      <c r="I125" s="13">
        <f t="shared" si="10"/>
        <v>0.29039999999999999</v>
      </c>
      <c r="J125">
        <f t="shared" si="14"/>
        <v>-0.37752000000000058</v>
      </c>
      <c r="K125" s="13">
        <f t="shared" si="15"/>
        <v>-0.29039999999999999</v>
      </c>
      <c r="M125">
        <f t="shared" si="17"/>
        <v>-0.37603280000000061</v>
      </c>
      <c r="N125">
        <f t="shared" si="12"/>
        <v>0</v>
      </c>
      <c r="O125">
        <f t="shared" si="13"/>
        <v>0</v>
      </c>
    </row>
    <row r="126" spans="5:15">
      <c r="E126" s="14">
        <v>20.229999999999801</v>
      </c>
      <c r="F126" s="14">
        <f>E126/20*Protokoll!$AC$5</f>
        <v>20.229999999999801</v>
      </c>
      <c r="G126" s="14">
        <f t="shared" si="9"/>
        <v>20.23</v>
      </c>
      <c r="H126">
        <f t="shared" si="16"/>
        <v>0.30491999999999958</v>
      </c>
      <c r="I126" s="13">
        <f t="shared" si="10"/>
        <v>0.29039999999999999</v>
      </c>
      <c r="J126">
        <f t="shared" si="14"/>
        <v>-0.37267999999999984</v>
      </c>
      <c r="K126" s="13">
        <f t="shared" si="15"/>
        <v>-0.29039999999999999</v>
      </c>
      <c r="M126">
        <f t="shared" si="17"/>
        <v>-0.3712118666666665</v>
      </c>
      <c r="N126">
        <f t="shared" si="12"/>
        <v>0</v>
      </c>
      <c r="O126">
        <f t="shared" si="13"/>
        <v>0</v>
      </c>
    </row>
    <row r="127" spans="5:15">
      <c r="E127" s="14">
        <v>20.239999999999799</v>
      </c>
      <c r="F127" s="14">
        <f>E127/20*Protokoll!$AC$5</f>
        <v>20.239999999999799</v>
      </c>
      <c r="G127" s="14">
        <f t="shared" si="9"/>
        <v>20.239999999999998</v>
      </c>
      <c r="H127">
        <f t="shared" si="16"/>
        <v>0.30975999999999859</v>
      </c>
      <c r="I127" s="13">
        <f t="shared" si="10"/>
        <v>0.29039999999999999</v>
      </c>
      <c r="J127">
        <f t="shared" si="14"/>
        <v>-0.36784000000000072</v>
      </c>
      <c r="K127" s="13">
        <f t="shared" si="15"/>
        <v>-0.29039999999999999</v>
      </c>
      <c r="M127">
        <f t="shared" si="17"/>
        <v>-0.36639093333333411</v>
      </c>
      <c r="N127">
        <f t="shared" si="12"/>
        <v>0</v>
      </c>
      <c r="O127">
        <f t="shared" si="13"/>
        <v>0</v>
      </c>
    </row>
    <row r="128" spans="5:15">
      <c r="E128" s="14">
        <v>20.249999999999801</v>
      </c>
      <c r="F128" s="14">
        <f>E128/20*Protokoll!$AC$5</f>
        <v>20.249999999999801</v>
      </c>
      <c r="G128" s="14">
        <f t="shared" si="9"/>
        <v>20.25</v>
      </c>
      <c r="H128">
        <f t="shared" si="16"/>
        <v>0.31459999999999932</v>
      </c>
      <c r="I128" s="13">
        <f t="shared" si="10"/>
        <v>0.29039999999999999</v>
      </c>
      <c r="J128">
        <f t="shared" si="14"/>
        <v>-0.36299999999999999</v>
      </c>
      <c r="K128" s="13">
        <f t="shared" si="15"/>
        <v>-0.29039999999999999</v>
      </c>
      <c r="M128">
        <f t="shared" si="17"/>
        <v>-0.36157</v>
      </c>
      <c r="N128">
        <f t="shared" si="12"/>
        <v>0</v>
      </c>
      <c r="O128">
        <f t="shared" si="13"/>
        <v>0</v>
      </c>
    </row>
    <row r="129" spans="5:15">
      <c r="E129" s="14">
        <v>20.259999999999799</v>
      </c>
      <c r="F129" s="14">
        <f>E129/20*Protokoll!$AC$5</f>
        <v>20.259999999999799</v>
      </c>
      <c r="G129" s="14">
        <f t="shared" si="9"/>
        <v>20.260000000000002</v>
      </c>
      <c r="H129">
        <f t="shared" si="16"/>
        <v>0.31944000000000006</v>
      </c>
      <c r="I129" s="13">
        <f t="shared" si="10"/>
        <v>0.29039999999999999</v>
      </c>
      <c r="J129">
        <f t="shared" si="14"/>
        <v>-0.35815999999999926</v>
      </c>
      <c r="K129" s="13">
        <f t="shared" si="15"/>
        <v>-0.29039999999999999</v>
      </c>
      <c r="M129">
        <f t="shared" si="17"/>
        <v>-0.35674906666666595</v>
      </c>
      <c r="N129">
        <f t="shared" si="12"/>
        <v>0</v>
      </c>
      <c r="O129">
        <f t="shared" si="13"/>
        <v>0</v>
      </c>
    </row>
    <row r="130" spans="5:15">
      <c r="E130" s="14">
        <v>20.269999999999801</v>
      </c>
      <c r="F130" s="14">
        <f>E130/20*Protokoll!$AC$5</f>
        <v>20.269999999999801</v>
      </c>
      <c r="G130" s="14">
        <f t="shared" si="9"/>
        <v>20.27</v>
      </c>
      <c r="H130">
        <f t="shared" si="16"/>
        <v>0.32427999999999907</v>
      </c>
      <c r="I130" s="13">
        <f t="shared" si="10"/>
        <v>0.29039999999999999</v>
      </c>
      <c r="J130">
        <f t="shared" si="14"/>
        <v>-0.35332000000000024</v>
      </c>
      <c r="K130" s="13">
        <f t="shared" si="15"/>
        <v>-0.29039999999999999</v>
      </c>
      <c r="M130">
        <f t="shared" si="17"/>
        <v>-0.35192813333333356</v>
      </c>
      <c r="N130">
        <f t="shared" si="12"/>
        <v>0</v>
      </c>
      <c r="O130">
        <f t="shared" si="13"/>
        <v>0</v>
      </c>
    </row>
    <row r="131" spans="5:15">
      <c r="E131" s="14">
        <v>20.279999999999799</v>
      </c>
      <c r="F131" s="14">
        <f>E131/20*Protokoll!$AC$5</f>
        <v>20.279999999999802</v>
      </c>
      <c r="G131" s="14">
        <f t="shared" ref="G131:G194" si="18">ROUND(F131,2)</f>
        <v>20.28</v>
      </c>
      <c r="H131">
        <f t="shared" si="16"/>
        <v>0.32911999999999986</v>
      </c>
      <c r="I131" s="13">
        <f t="shared" ref="I131:I194" si="19">IF(H131&gt;=$C$13,$C$13,H131)</f>
        <v>0.29039999999999999</v>
      </c>
      <c r="J131">
        <f t="shared" si="14"/>
        <v>-0.34847999999999946</v>
      </c>
      <c r="K131" s="13">
        <f t="shared" si="15"/>
        <v>-0.29039999999999999</v>
      </c>
      <c r="M131">
        <f t="shared" ref="M131:M162" si="20">-0.3287*$B$2*(($B$9-G131)/$B$15)</f>
        <v>-0.34710719999999951</v>
      </c>
      <c r="N131">
        <f t="shared" ref="N131:N194" si="21">$B$3/$B$2*I131</f>
        <v>0</v>
      </c>
      <c r="O131">
        <f t="shared" ref="O131:O194" si="22">$B$3/$B$2*K131</f>
        <v>0</v>
      </c>
    </row>
    <row r="132" spans="5:15">
      <c r="E132" s="14">
        <v>20.2899999999998</v>
      </c>
      <c r="F132" s="14">
        <f>E132/20*Protokoll!$AC$5</f>
        <v>20.2899999999998</v>
      </c>
      <c r="G132" s="14">
        <f t="shared" si="18"/>
        <v>20.29</v>
      </c>
      <c r="H132">
        <f t="shared" si="16"/>
        <v>0.33395999999999892</v>
      </c>
      <c r="I132" s="13">
        <f t="shared" si="19"/>
        <v>0.29039999999999999</v>
      </c>
      <c r="J132">
        <f t="shared" ref="J132:J195" si="23">0.33*$B$2*((G132-$B$9)/$B$15)</f>
        <v>-0.34364000000000045</v>
      </c>
      <c r="K132" s="13">
        <f t="shared" ref="K132:K195" si="24">IF(G132&lt;=$B$10,
         IF(J132&lt;=$C$14,$C$14,J132),
                $C$10)</f>
        <v>-0.29039999999999999</v>
      </c>
      <c r="M132">
        <f t="shared" si="20"/>
        <v>-0.34228626666666712</v>
      </c>
      <c r="N132">
        <f t="shared" si="21"/>
        <v>0</v>
      </c>
      <c r="O132">
        <f t="shared" si="22"/>
        <v>0</v>
      </c>
    </row>
    <row r="133" spans="5:15">
      <c r="E133" s="14">
        <v>20.299999999999699</v>
      </c>
      <c r="F133" s="14">
        <f>E133/20*Protokoll!$AC$5</f>
        <v>20.299999999999699</v>
      </c>
      <c r="G133" s="14">
        <f t="shared" si="18"/>
        <v>20.3</v>
      </c>
      <c r="H133">
        <f t="shared" ref="H133:H196" si="25">-0.33*$B$2*(($B$7-G133)/$B$15)</f>
        <v>0.33879999999999971</v>
      </c>
      <c r="I133" s="13">
        <f t="shared" si="19"/>
        <v>0.29039999999999999</v>
      </c>
      <c r="J133">
        <f t="shared" si="23"/>
        <v>-0.33879999999999971</v>
      </c>
      <c r="K133" s="13">
        <f t="shared" si="24"/>
        <v>-0.29039999999999999</v>
      </c>
      <c r="M133">
        <f t="shared" si="20"/>
        <v>-0.33746533333333306</v>
      </c>
      <c r="N133">
        <f t="shared" si="21"/>
        <v>0</v>
      </c>
      <c r="O133">
        <f t="shared" si="22"/>
        <v>0</v>
      </c>
    </row>
    <row r="134" spans="5:15">
      <c r="E134" s="14">
        <v>20.3099999999997</v>
      </c>
      <c r="F134" s="14">
        <f>E134/20*Protokoll!$AC$5</f>
        <v>20.3099999999997</v>
      </c>
      <c r="G134" s="14">
        <f t="shared" si="18"/>
        <v>20.309999999999999</v>
      </c>
      <c r="H134">
        <f t="shared" si="25"/>
        <v>0.34363999999999872</v>
      </c>
      <c r="I134" s="13">
        <f t="shared" si="19"/>
        <v>0.29039999999999999</v>
      </c>
      <c r="J134">
        <f t="shared" si="23"/>
        <v>-0.33396000000000059</v>
      </c>
      <c r="K134" s="13">
        <f t="shared" si="24"/>
        <v>-0.29039999999999999</v>
      </c>
      <c r="M134">
        <f t="shared" si="20"/>
        <v>-0.33264440000000062</v>
      </c>
      <c r="N134">
        <f t="shared" si="21"/>
        <v>0</v>
      </c>
      <c r="O134">
        <f t="shared" si="22"/>
        <v>0</v>
      </c>
    </row>
    <row r="135" spans="5:15">
      <c r="E135" s="14">
        <v>20.319999999999698</v>
      </c>
      <c r="F135" s="14">
        <f>E135/20*Protokoll!$AC$5</f>
        <v>20.319999999999698</v>
      </c>
      <c r="G135" s="14">
        <f t="shared" si="18"/>
        <v>20.32</v>
      </c>
      <c r="H135">
        <f t="shared" si="25"/>
        <v>0.34847999999999946</v>
      </c>
      <c r="I135" s="13">
        <f t="shared" si="19"/>
        <v>0.29039999999999999</v>
      </c>
      <c r="J135">
        <f t="shared" si="23"/>
        <v>-0.32911999999999986</v>
      </c>
      <c r="K135" s="13">
        <f t="shared" si="24"/>
        <v>-0.29039999999999999</v>
      </c>
      <c r="M135">
        <f t="shared" si="20"/>
        <v>-0.32782346666666656</v>
      </c>
      <c r="N135">
        <f t="shared" si="21"/>
        <v>0</v>
      </c>
      <c r="O135">
        <f t="shared" si="22"/>
        <v>0</v>
      </c>
    </row>
    <row r="136" spans="5:15">
      <c r="E136" s="14">
        <v>20.3299999999997</v>
      </c>
      <c r="F136" s="14">
        <f>E136/20*Protokoll!$AC$5</f>
        <v>20.3299999999997</v>
      </c>
      <c r="G136" s="14">
        <f t="shared" si="18"/>
        <v>20.329999999999998</v>
      </c>
      <c r="H136">
        <f t="shared" si="25"/>
        <v>0.35331999999999847</v>
      </c>
      <c r="I136" s="13">
        <f t="shared" si="19"/>
        <v>0.29039999999999999</v>
      </c>
      <c r="J136">
        <f t="shared" si="23"/>
        <v>-0.32428000000000085</v>
      </c>
      <c r="K136" s="13">
        <f t="shared" si="24"/>
        <v>-0.29039999999999999</v>
      </c>
      <c r="M136">
        <f t="shared" si="20"/>
        <v>-0.32300253333333417</v>
      </c>
      <c r="N136">
        <f t="shared" si="21"/>
        <v>0</v>
      </c>
      <c r="O136">
        <f t="shared" si="22"/>
        <v>0</v>
      </c>
    </row>
    <row r="137" spans="5:15">
      <c r="E137" s="14">
        <v>20.339999999999701</v>
      </c>
      <c r="F137" s="14">
        <f>E137/20*Protokoll!$AC$5</f>
        <v>20.339999999999701</v>
      </c>
      <c r="G137" s="14">
        <f t="shared" si="18"/>
        <v>20.34</v>
      </c>
      <c r="H137">
        <f t="shared" si="25"/>
        <v>0.35815999999999926</v>
      </c>
      <c r="I137" s="13">
        <f t="shared" si="19"/>
        <v>0.29039999999999999</v>
      </c>
      <c r="J137">
        <f t="shared" si="23"/>
        <v>-0.31944000000000006</v>
      </c>
      <c r="K137" s="13">
        <f t="shared" si="24"/>
        <v>-0.29039999999999999</v>
      </c>
      <c r="M137">
        <f t="shared" si="20"/>
        <v>-0.31818160000000012</v>
      </c>
      <c r="N137">
        <f t="shared" si="21"/>
        <v>0</v>
      </c>
      <c r="O137">
        <f t="shared" si="22"/>
        <v>0</v>
      </c>
    </row>
    <row r="138" spans="5:15">
      <c r="E138" s="14">
        <v>20.349999999999699</v>
      </c>
      <c r="F138" s="14">
        <f>E138/20*Protokoll!$AC$5</f>
        <v>20.349999999999699</v>
      </c>
      <c r="G138" s="14">
        <f t="shared" si="18"/>
        <v>20.350000000000001</v>
      </c>
      <c r="H138">
        <f t="shared" si="25"/>
        <v>0.36299999999999999</v>
      </c>
      <c r="I138" s="13">
        <f t="shared" si="19"/>
        <v>0.29039999999999999</v>
      </c>
      <c r="J138">
        <f t="shared" si="23"/>
        <v>-0.31459999999999932</v>
      </c>
      <c r="K138" s="13">
        <f t="shared" si="24"/>
        <v>-0.29039999999999999</v>
      </c>
      <c r="M138">
        <f t="shared" si="20"/>
        <v>-0.31336066666666601</v>
      </c>
      <c r="N138">
        <f t="shared" si="21"/>
        <v>0</v>
      </c>
      <c r="O138">
        <f t="shared" si="22"/>
        <v>0</v>
      </c>
    </row>
    <row r="139" spans="5:15">
      <c r="E139" s="14">
        <v>20.359999999999701</v>
      </c>
      <c r="F139" s="14">
        <f>E139/20*Protokoll!$AC$5</f>
        <v>20.359999999999701</v>
      </c>
      <c r="G139" s="14">
        <f t="shared" si="18"/>
        <v>20.36</v>
      </c>
      <c r="H139">
        <f t="shared" si="25"/>
        <v>0.36783999999999906</v>
      </c>
      <c r="I139" s="13">
        <f t="shared" si="19"/>
        <v>0.29039999999999999</v>
      </c>
      <c r="J139">
        <f t="shared" si="23"/>
        <v>-0.30976000000000031</v>
      </c>
      <c r="K139" s="13">
        <f t="shared" si="24"/>
        <v>-0.29039999999999999</v>
      </c>
      <c r="M139">
        <f t="shared" si="20"/>
        <v>-0.30853973333333368</v>
      </c>
      <c r="N139">
        <f t="shared" si="21"/>
        <v>0</v>
      </c>
      <c r="O139">
        <f t="shared" si="22"/>
        <v>0</v>
      </c>
    </row>
    <row r="140" spans="5:15">
      <c r="E140" s="14">
        <v>20.369999999999699</v>
      </c>
      <c r="F140" s="14">
        <f>E140/20*Protokoll!$AC$5</f>
        <v>20.369999999999699</v>
      </c>
      <c r="G140" s="14">
        <f t="shared" si="18"/>
        <v>20.37</v>
      </c>
      <c r="H140">
        <f t="shared" si="25"/>
        <v>0.37267999999999984</v>
      </c>
      <c r="I140" s="13">
        <f t="shared" si="19"/>
        <v>0.29039999999999999</v>
      </c>
      <c r="J140">
        <f t="shared" si="23"/>
        <v>-0.30491999999999958</v>
      </c>
      <c r="K140" s="13">
        <f t="shared" si="24"/>
        <v>-0.29039999999999999</v>
      </c>
      <c r="M140">
        <f t="shared" si="20"/>
        <v>-0.30371879999999957</v>
      </c>
      <c r="N140">
        <f t="shared" si="21"/>
        <v>0</v>
      </c>
      <c r="O140">
        <f t="shared" si="22"/>
        <v>0</v>
      </c>
    </row>
    <row r="141" spans="5:15">
      <c r="E141" s="14">
        <v>20.379999999999701</v>
      </c>
      <c r="F141" s="14">
        <f>E141/20*Protokoll!$AC$5</f>
        <v>20.379999999999701</v>
      </c>
      <c r="G141" s="14">
        <f t="shared" si="18"/>
        <v>20.38</v>
      </c>
      <c r="H141">
        <f t="shared" si="25"/>
        <v>0.37751999999999886</v>
      </c>
      <c r="I141" s="13">
        <f t="shared" si="19"/>
        <v>0.29039999999999999</v>
      </c>
      <c r="J141">
        <f t="shared" si="23"/>
        <v>-0.30008000000000046</v>
      </c>
      <c r="K141" s="13">
        <f t="shared" si="24"/>
        <v>-0.29039999999999999</v>
      </c>
      <c r="M141">
        <f t="shared" si="20"/>
        <v>-0.29889786666666718</v>
      </c>
      <c r="N141">
        <f t="shared" si="21"/>
        <v>0</v>
      </c>
      <c r="O141">
        <f t="shared" si="22"/>
        <v>0</v>
      </c>
    </row>
    <row r="142" spans="5:15">
      <c r="E142" s="14">
        <v>20.389999999999699</v>
      </c>
      <c r="F142" s="14">
        <f>E142/20*Protokoll!$AC$5</f>
        <v>20.389999999999699</v>
      </c>
      <c r="G142" s="14">
        <f t="shared" si="18"/>
        <v>20.39</v>
      </c>
      <c r="H142">
        <f t="shared" si="25"/>
        <v>0.38235999999999959</v>
      </c>
      <c r="I142" s="13">
        <f t="shared" si="19"/>
        <v>0.29039999999999999</v>
      </c>
      <c r="J142">
        <f t="shared" si="23"/>
        <v>-0.29523999999999972</v>
      </c>
      <c r="K142" s="13">
        <f t="shared" si="24"/>
        <v>-0.29039999999999999</v>
      </c>
      <c r="M142">
        <f t="shared" si="20"/>
        <v>-0.29407693333333307</v>
      </c>
      <c r="N142">
        <f t="shared" si="21"/>
        <v>0</v>
      </c>
      <c r="O142">
        <f t="shared" si="22"/>
        <v>0</v>
      </c>
    </row>
    <row r="143" spans="5:15">
      <c r="E143" s="14">
        <v>20.3999999999997</v>
      </c>
      <c r="F143" s="14">
        <f>E143/20*Protokoll!$AC$5</f>
        <v>20.3999999999997</v>
      </c>
      <c r="G143" s="14">
        <f t="shared" si="18"/>
        <v>20.399999999999999</v>
      </c>
      <c r="H143">
        <f t="shared" si="25"/>
        <v>0.3871999999999986</v>
      </c>
      <c r="I143" s="13">
        <f t="shared" si="19"/>
        <v>0.29039999999999999</v>
      </c>
      <c r="J143">
        <f t="shared" si="23"/>
        <v>-0.29040000000000071</v>
      </c>
      <c r="K143" s="13">
        <f t="shared" si="24"/>
        <v>-0.29039999999999999</v>
      </c>
      <c r="M143">
        <f t="shared" si="20"/>
        <v>-0.28925600000000073</v>
      </c>
      <c r="N143">
        <f t="shared" si="21"/>
        <v>0</v>
      </c>
      <c r="O143">
        <f t="shared" si="22"/>
        <v>0</v>
      </c>
    </row>
    <row r="144" spans="5:15">
      <c r="E144" s="14">
        <v>20.409999999999702</v>
      </c>
      <c r="F144" s="14">
        <f>E144/20*Protokoll!$AC$5</f>
        <v>20.409999999999702</v>
      </c>
      <c r="G144" s="14">
        <f t="shared" si="18"/>
        <v>20.41</v>
      </c>
      <c r="H144">
        <f t="shared" si="25"/>
        <v>0.39203999999999939</v>
      </c>
      <c r="I144" s="13">
        <f t="shared" si="19"/>
        <v>0.29039999999999999</v>
      </c>
      <c r="J144">
        <f t="shared" si="23"/>
        <v>-0.28555999999999993</v>
      </c>
      <c r="K144" s="13">
        <f t="shared" si="24"/>
        <v>-0.28555999999999993</v>
      </c>
      <c r="M144">
        <f t="shared" si="20"/>
        <v>-0.28443506666666662</v>
      </c>
      <c r="N144">
        <f t="shared" si="21"/>
        <v>0</v>
      </c>
      <c r="O144">
        <f t="shared" si="22"/>
        <v>0</v>
      </c>
    </row>
    <row r="145" spans="5:15">
      <c r="E145" s="14">
        <v>20.4199999999997</v>
      </c>
      <c r="F145" s="14">
        <f>E145/20*Protokoll!$AC$5</f>
        <v>20.4199999999997</v>
      </c>
      <c r="G145" s="14">
        <f t="shared" si="18"/>
        <v>20.420000000000002</v>
      </c>
      <c r="H145">
        <f t="shared" si="25"/>
        <v>0.39688000000000012</v>
      </c>
      <c r="I145" s="13">
        <f t="shared" si="19"/>
        <v>0.29039999999999999</v>
      </c>
      <c r="J145">
        <f t="shared" si="23"/>
        <v>-0.28071999999999919</v>
      </c>
      <c r="K145" s="13">
        <f t="shared" si="24"/>
        <v>-0.28071999999999919</v>
      </c>
      <c r="M145">
        <f t="shared" si="20"/>
        <v>-0.27961413333333257</v>
      </c>
      <c r="N145">
        <f t="shared" si="21"/>
        <v>0</v>
      </c>
      <c r="O145">
        <f t="shared" si="22"/>
        <v>0</v>
      </c>
    </row>
    <row r="146" spans="5:15">
      <c r="E146" s="14">
        <v>20.429999999999701</v>
      </c>
      <c r="F146" s="14">
        <f>E146/20*Protokoll!$AC$5</f>
        <v>20.429999999999701</v>
      </c>
      <c r="G146" s="14">
        <f t="shared" si="18"/>
        <v>20.43</v>
      </c>
      <c r="H146">
        <f t="shared" si="25"/>
        <v>0.40171999999999919</v>
      </c>
      <c r="I146" s="13">
        <f t="shared" si="19"/>
        <v>0.29039999999999999</v>
      </c>
      <c r="J146">
        <f t="shared" si="23"/>
        <v>-0.27588000000000013</v>
      </c>
      <c r="K146" s="13">
        <f t="shared" si="24"/>
        <v>-0.27588000000000013</v>
      </c>
      <c r="M146">
        <f t="shared" si="20"/>
        <v>-0.27479320000000018</v>
      </c>
      <c r="N146">
        <f t="shared" si="21"/>
        <v>0</v>
      </c>
      <c r="O146">
        <f t="shared" si="22"/>
        <v>0</v>
      </c>
    </row>
    <row r="147" spans="5:15">
      <c r="E147" s="14">
        <v>20.439999999999699</v>
      </c>
      <c r="F147" s="14">
        <f>E147/20*Protokoll!$AC$5</f>
        <v>20.439999999999699</v>
      </c>
      <c r="G147" s="14">
        <f t="shared" si="18"/>
        <v>20.440000000000001</v>
      </c>
      <c r="H147">
        <f t="shared" si="25"/>
        <v>0.40655999999999998</v>
      </c>
      <c r="I147" s="13">
        <f t="shared" si="19"/>
        <v>0.29039999999999999</v>
      </c>
      <c r="J147">
        <f t="shared" si="23"/>
        <v>-0.27103999999999939</v>
      </c>
      <c r="K147" s="13">
        <f t="shared" si="24"/>
        <v>-0.27103999999999939</v>
      </c>
      <c r="M147">
        <f t="shared" si="20"/>
        <v>-0.26997226666666607</v>
      </c>
      <c r="N147">
        <f t="shared" si="21"/>
        <v>0</v>
      </c>
      <c r="O147">
        <f t="shared" si="22"/>
        <v>0</v>
      </c>
    </row>
    <row r="148" spans="5:15">
      <c r="E148" s="14">
        <v>20.449999999999701</v>
      </c>
      <c r="F148" s="14">
        <f>E148/20*Protokoll!$AC$5</f>
        <v>20.449999999999701</v>
      </c>
      <c r="G148" s="14">
        <f t="shared" si="18"/>
        <v>20.45</v>
      </c>
      <c r="H148">
        <f t="shared" si="25"/>
        <v>0.41139999999999899</v>
      </c>
      <c r="I148" s="13">
        <f t="shared" si="19"/>
        <v>0.29039999999999999</v>
      </c>
      <c r="J148">
        <f t="shared" si="23"/>
        <v>-0.26620000000000033</v>
      </c>
      <c r="K148" s="13">
        <f t="shared" si="24"/>
        <v>-0.26620000000000033</v>
      </c>
      <c r="M148">
        <f t="shared" si="20"/>
        <v>-0.26515133333333368</v>
      </c>
      <c r="N148">
        <f t="shared" si="21"/>
        <v>0</v>
      </c>
      <c r="O148">
        <f t="shared" si="22"/>
        <v>0</v>
      </c>
    </row>
    <row r="149" spans="5:15">
      <c r="E149" s="14">
        <v>20.459999999999699</v>
      </c>
      <c r="F149" s="14">
        <f>E149/20*Protokoll!$AC$5</f>
        <v>20.459999999999702</v>
      </c>
      <c r="G149" s="14">
        <f t="shared" si="18"/>
        <v>20.46</v>
      </c>
      <c r="H149">
        <f t="shared" si="25"/>
        <v>0.41623999999999972</v>
      </c>
      <c r="I149" s="13">
        <f t="shared" si="19"/>
        <v>0.29039999999999999</v>
      </c>
      <c r="J149">
        <f t="shared" si="23"/>
        <v>-0.26135999999999959</v>
      </c>
      <c r="K149" s="13">
        <f t="shared" si="24"/>
        <v>-0.26135999999999959</v>
      </c>
      <c r="M149">
        <f t="shared" si="20"/>
        <v>-0.26033039999999957</v>
      </c>
      <c r="N149">
        <f t="shared" si="21"/>
        <v>0</v>
      </c>
      <c r="O149">
        <f t="shared" si="22"/>
        <v>0</v>
      </c>
    </row>
    <row r="150" spans="5:15">
      <c r="E150" s="14">
        <v>20.4699999999997</v>
      </c>
      <c r="F150" s="14">
        <f>E150/20*Protokoll!$AC$5</f>
        <v>20.4699999999997</v>
      </c>
      <c r="G150" s="14">
        <f t="shared" si="18"/>
        <v>20.47</v>
      </c>
      <c r="H150">
        <f t="shared" si="25"/>
        <v>0.42107999999999873</v>
      </c>
      <c r="I150" s="13">
        <f t="shared" si="19"/>
        <v>0.29039999999999999</v>
      </c>
      <c r="J150">
        <f t="shared" si="23"/>
        <v>-0.25652000000000058</v>
      </c>
      <c r="K150" s="13">
        <f t="shared" si="24"/>
        <v>-0.25652000000000058</v>
      </c>
      <c r="M150">
        <f t="shared" si="20"/>
        <v>-0.25550946666666724</v>
      </c>
      <c r="N150">
        <f t="shared" si="21"/>
        <v>0</v>
      </c>
      <c r="O150">
        <f t="shared" si="22"/>
        <v>0</v>
      </c>
    </row>
    <row r="151" spans="5:15">
      <c r="E151" s="14">
        <v>20.479999999999698</v>
      </c>
      <c r="F151" s="14">
        <f>E151/20*Protokoll!$AC$5</f>
        <v>20.479999999999698</v>
      </c>
      <c r="G151" s="14">
        <f t="shared" si="18"/>
        <v>20.48</v>
      </c>
      <c r="H151">
        <f t="shared" si="25"/>
        <v>0.42591999999999952</v>
      </c>
      <c r="I151" s="13">
        <f t="shared" si="19"/>
        <v>0.29039999999999999</v>
      </c>
      <c r="J151">
        <f t="shared" si="23"/>
        <v>-0.25167999999999979</v>
      </c>
      <c r="K151" s="13">
        <f t="shared" si="24"/>
        <v>-0.25167999999999979</v>
      </c>
      <c r="M151">
        <f t="shared" si="20"/>
        <v>-0.25068853333333319</v>
      </c>
      <c r="N151">
        <f t="shared" si="21"/>
        <v>0</v>
      </c>
      <c r="O151">
        <f t="shared" si="22"/>
        <v>0</v>
      </c>
    </row>
    <row r="152" spans="5:15">
      <c r="E152" s="14">
        <v>20.4899999999997</v>
      </c>
      <c r="F152" s="14">
        <f>E152/20*Protokoll!$AC$5</f>
        <v>20.489999999999704</v>
      </c>
      <c r="G152" s="14">
        <f t="shared" si="18"/>
        <v>20.49</v>
      </c>
      <c r="H152">
        <f t="shared" si="25"/>
        <v>0.43075999999999859</v>
      </c>
      <c r="I152" s="13">
        <f t="shared" si="19"/>
        <v>0.29039999999999999</v>
      </c>
      <c r="J152">
        <f t="shared" si="23"/>
        <v>-0.24684000000000075</v>
      </c>
      <c r="K152" s="13">
        <f t="shared" si="24"/>
        <v>-0.24684000000000075</v>
      </c>
      <c r="M152">
        <f t="shared" si="20"/>
        <v>-0.24586760000000077</v>
      </c>
      <c r="N152">
        <f t="shared" si="21"/>
        <v>0</v>
      </c>
      <c r="O152">
        <f t="shared" si="22"/>
        <v>0</v>
      </c>
    </row>
    <row r="153" spans="5:15">
      <c r="E153" s="14">
        <v>20.499999999999702</v>
      </c>
      <c r="F153" s="14">
        <f>E153/20*Protokoll!$AC$5</f>
        <v>20.499999999999702</v>
      </c>
      <c r="G153" s="14">
        <f t="shared" si="18"/>
        <v>20.5</v>
      </c>
      <c r="H153">
        <f t="shared" si="25"/>
        <v>0.43559999999999932</v>
      </c>
      <c r="I153" s="13">
        <f>IF(H153&gt;=$C$13,$C$13,H153)</f>
        <v>0.29039999999999999</v>
      </c>
      <c r="J153">
        <f t="shared" si="23"/>
        <v>-0.24199999999999999</v>
      </c>
      <c r="K153" s="13">
        <f t="shared" si="24"/>
        <v>-0.24199999999999999</v>
      </c>
      <c r="M153">
        <f t="shared" si="20"/>
        <v>-0.24104666666666669</v>
      </c>
      <c r="N153">
        <f t="shared" si="21"/>
        <v>0</v>
      </c>
      <c r="O153">
        <f t="shared" si="22"/>
        <v>0</v>
      </c>
    </row>
    <row r="154" spans="5:15">
      <c r="E154" s="14">
        <v>20.5099999999997</v>
      </c>
      <c r="F154" s="14">
        <f>E154/20*Protokoll!$AC$5</f>
        <v>20.5099999999997</v>
      </c>
      <c r="G154" s="14">
        <f t="shared" si="18"/>
        <v>20.51</v>
      </c>
      <c r="H154">
        <f t="shared" si="25"/>
        <v>0.44044000000000011</v>
      </c>
      <c r="I154" s="13">
        <f t="shared" si="19"/>
        <v>0.29039999999999999</v>
      </c>
      <c r="J154">
        <f t="shared" si="23"/>
        <v>-0.23715999999999926</v>
      </c>
      <c r="K154" s="13">
        <f t="shared" si="24"/>
        <v>-0.23715999999999926</v>
      </c>
      <c r="M154">
        <f t="shared" si="20"/>
        <v>-0.2362257333333326</v>
      </c>
      <c r="N154">
        <f t="shared" si="21"/>
        <v>0</v>
      </c>
      <c r="O154">
        <f t="shared" si="22"/>
        <v>0</v>
      </c>
    </row>
    <row r="155" spans="5:15">
      <c r="E155" s="14">
        <v>20.519999999999701</v>
      </c>
      <c r="F155" s="14">
        <f>E155/20*Protokoll!$AC$5</f>
        <v>20.519999999999705</v>
      </c>
      <c r="G155" s="14">
        <f t="shared" si="18"/>
        <v>20.52</v>
      </c>
      <c r="H155">
        <f t="shared" si="25"/>
        <v>0.44527999999999912</v>
      </c>
      <c r="I155" s="13">
        <f t="shared" si="19"/>
        <v>0.29039999999999999</v>
      </c>
      <c r="J155">
        <f t="shared" si="23"/>
        <v>-0.23232000000000019</v>
      </c>
      <c r="K155" s="13">
        <f t="shared" si="24"/>
        <v>-0.23232000000000019</v>
      </c>
      <c r="M155">
        <f t="shared" si="20"/>
        <v>-0.23140480000000022</v>
      </c>
      <c r="N155">
        <f t="shared" si="21"/>
        <v>0</v>
      </c>
      <c r="O155">
        <f t="shared" si="22"/>
        <v>0</v>
      </c>
    </row>
    <row r="156" spans="5:15">
      <c r="E156" s="14">
        <v>20.529999999999699</v>
      </c>
      <c r="F156" s="14">
        <f>E156/20*Protokoll!$AC$5</f>
        <v>20.529999999999696</v>
      </c>
      <c r="G156" s="14">
        <f t="shared" si="18"/>
        <v>20.53</v>
      </c>
      <c r="H156">
        <f t="shared" si="25"/>
        <v>0.45011999999999985</v>
      </c>
      <c r="I156" s="13">
        <f t="shared" si="19"/>
        <v>0.29039999999999999</v>
      </c>
      <c r="J156">
        <f t="shared" si="23"/>
        <v>-0.22747999999999943</v>
      </c>
      <c r="K156" s="13">
        <f t="shared" si="24"/>
        <v>-0.22747999999999943</v>
      </c>
      <c r="M156">
        <f t="shared" si="20"/>
        <v>-0.22658386666666613</v>
      </c>
      <c r="N156">
        <f t="shared" si="21"/>
        <v>0</v>
      </c>
      <c r="O156">
        <f t="shared" si="22"/>
        <v>0</v>
      </c>
    </row>
    <row r="157" spans="5:15">
      <c r="E157" s="14">
        <v>20.539999999999701</v>
      </c>
      <c r="F157" s="14">
        <f>E157/20*Protokoll!$AC$5</f>
        <v>20.539999999999701</v>
      </c>
      <c r="G157" s="14">
        <f t="shared" si="18"/>
        <v>20.54</v>
      </c>
      <c r="H157">
        <f t="shared" si="25"/>
        <v>0.45495999999999887</v>
      </c>
      <c r="I157" s="13">
        <f t="shared" si="19"/>
        <v>0.29039999999999999</v>
      </c>
      <c r="J157">
        <f t="shared" si="23"/>
        <v>-0.22264000000000042</v>
      </c>
      <c r="K157" s="13">
        <f t="shared" si="24"/>
        <v>-0.22264000000000042</v>
      </c>
      <c r="M157">
        <f t="shared" si="20"/>
        <v>-0.22176293333333377</v>
      </c>
      <c r="N157">
        <f t="shared" si="21"/>
        <v>0</v>
      </c>
      <c r="O157">
        <f t="shared" si="22"/>
        <v>0</v>
      </c>
    </row>
    <row r="158" spans="5:15">
      <c r="E158" s="14">
        <v>20.549999999999699</v>
      </c>
      <c r="F158" s="14">
        <f>E158/20*Protokoll!$AC$5</f>
        <v>20.549999999999699</v>
      </c>
      <c r="G158" s="14">
        <f t="shared" si="18"/>
        <v>20.55</v>
      </c>
      <c r="H158">
        <f t="shared" si="25"/>
        <v>0.45979999999999965</v>
      </c>
      <c r="I158" s="13">
        <f t="shared" si="19"/>
        <v>0.29039999999999999</v>
      </c>
      <c r="J158">
        <f t="shared" si="23"/>
        <v>-0.21779999999999966</v>
      </c>
      <c r="K158" s="13">
        <f t="shared" si="24"/>
        <v>-0.21779999999999966</v>
      </c>
      <c r="M158">
        <f t="shared" si="20"/>
        <v>-0.21694199999999969</v>
      </c>
      <c r="N158">
        <f t="shared" si="21"/>
        <v>0</v>
      </c>
      <c r="O158">
        <f t="shared" si="22"/>
        <v>0</v>
      </c>
    </row>
    <row r="159" spans="5:15">
      <c r="E159" s="14">
        <v>20.5599999999997</v>
      </c>
      <c r="F159" s="14">
        <f>E159/20*Protokoll!$AC$5</f>
        <v>20.559999999999697</v>
      </c>
      <c r="G159" s="14">
        <f t="shared" si="18"/>
        <v>20.56</v>
      </c>
      <c r="H159">
        <f t="shared" si="25"/>
        <v>0.46463999999999872</v>
      </c>
      <c r="I159" s="13">
        <f t="shared" si="19"/>
        <v>0.29039999999999999</v>
      </c>
      <c r="J159">
        <f t="shared" si="23"/>
        <v>-0.21296000000000062</v>
      </c>
      <c r="K159" s="13">
        <f t="shared" si="24"/>
        <v>-0.21296000000000062</v>
      </c>
      <c r="M159">
        <f t="shared" si="20"/>
        <v>-0.2121210666666673</v>
      </c>
      <c r="N159">
        <f t="shared" si="21"/>
        <v>0</v>
      </c>
      <c r="O159">
        <f t="shared" si="22"/>
        <v>0</v>
      </c>
    </row>
    <row r="160" spans="5:15">
      <c r="E160" s="14">
        <v>20.569999999999698</v>
      </c>
      <c r="F160" s="14">
        <f>E160/20*Protokoll!$AC$5</f>
        <v>20.569999999999698</v>
      </c>
      <c r="G160" s="14">
        <f t="shared" si="18"/>
        <v>20.57</v>
      </c>
      <c r="H160">
        <f t="shared" si="25"/>
        <v>0.46947999999999945</v>
      </c>
      <c r="I160" s="13">
        <f t="shared" si="19"/>
        <v>0.29039999999999999</v>
      </c>
      <c r="J160">
        <f t="shared" si="23"/>
        <v>-0.20811999999999986</v>
      </c>
      <c r="K160" s="13">
        <f t="shared" si="24"/>
        <v>-0.20811999999999986</v>
      </c>
      <c r="M160">
        <f t="shared" si="20"/>
        <v>-0.20730013333333322</v>
      </c>
      <c r="N160">
        <f t="shared" si="21"/>
        <v>0</v>
      </c>
      <c r="O160">
        <f t="shared" si="22"/>
        <v>0</v>
      </c>
    </row>
    <row r="161" spans="5:15">
      <c r="E161" s="14">
        <v>20.5799999999997</v>
      </c>
      <c r="F161" s="14">
        <f>E161/20*Protokoll!$AC$5</f>
        <v>20.5799999999997</v>
      </c>
      <c r="G161" s="14">
        <f t="shared" si="18"/>
        <v>20.58</v>
      </c>
      <c r="H161">
        <f t="shared" si="25"/>
        <v>0.47431999999999852</v>
      </c>
      <c r="I161" s="13">
        <f t="shared" si="19"/>
        <v>0.29039999999999999</v>
      </c>
      <c r="J161">
        <f t="shared" si="23"/>
        <v>-0.20328000000000082</v>
      </c>
      <c r="K161" s="13">
        <f t="shared" si="24"/>
        <v>-0.20328000000000082</v>
      </c>
      <c r="M161">
        <f t="shared" si="20"/>
        <v>-0.20247920000000083</v>
      </c>
      <c r="N161">
        <f t="shared" si="21"/>
        <v>0</v>
      </c>
      <c r="O161">
        <f t="shared" si="22"/>
        <v>0</v>
      </c>
    </row>
    <row r="162" spans="5:15">
      <c r="E162" s="14">
        <v>20.589999999999701</v>
      </c>
      <c r="F162" s="14">
        <f>E162/20*Protokoll!$AC$5</f>
        <v>20.589999999999698</v>
      </c>
      <c r="G162" s="14">
        <f t="shared" si="18"/>
        <v>20.59</v>
      </c>
      <c r="H162">
        <f t="shared" si="25"/>
        <v>0.47915999999999925</v>
      </c>
      <c r="I162" s="13">
        <f t="shared" si="19"/>
        <v>0.29039999999999999</v>
      </c>
      <c r="J162">
        <f t="shared" si="23"/>
        <v>-0.19844000000000006</v>
      </c>
      <c r="K162" s="13">
        <f t="shared" si="24"/>
        <v>-0.19844000000000006</v>
      </c>
      <c r="M162">
        <f t="shared" si="20"/>
        <v>-0.19765826666666675</v>
      </c>
      <c r="N162">
        <f t="shared" si="21"/>
        <v>0</v>
      </c>
      <c r="O162">
        <f t="shared" si="22"/>
        <v>0</v>
      </c>
    </row>
    <row r="163" spans="5:15">
      <c r="E163" s="14">
        <v>20.599999999999699</v>
      </c>
      <c r="F163" s="14">
        <f>E163/20*Protokoll!$AC$5</f>
        <v>20.599999999999699</v>
      </c>
      <c r="G163" s="14">
        <f t="shared" si="18"/>
        <v>20.6</v>
      </c>
      <c r="H163">
        <f t="shared" si="25"/>
        <v>0.48399999999999999</v>
      </c>
      <c r="I163" s="13">
        <f t="shared" si="19"/>
        <v>0.29039999999999999</v>
      </c>
      <c r="J163">
        <f t="shared" si="23"/>
        <v>-0.1935999999999993</v>
      </c>
      <c r="K163" s="13">
        <f t="shared" si="24"/>
        <v>-0.1935999999999993</v>
      </c>
      <c r="M163">
        <f t="shared" ref="M163:M187" si="26">-0.3287*$B$2*(($B$9-G163)/$B$15)</f>
        <v>-0.19283733333333267</v>
      </c>
      <c r="N163">
        <f t="shared" si="21"/>
        <v>0</v>
      </c>
      <c r="O163">
        <f t="shared" si="22"/>
        <v>0</v>
      </c>
    </row>
    <row r="164" spans="5:15">
      <c r="E164" s="14">
        <v>20.609999999999701</v>
      </c>
      <c r="F164" s="14">
        <f>E164/20*Protokoll!$AC$5</f>
        <v>20.609999999999701</v>
      </c>
      <c r="G164" s="14">
        <f t="shared" si="18"/>
        <v>20.61</v>
      </c>
      <c r="H164">
        <f t="shared" si="25"/>
        <v>0.488839999999999</v>
      </c>
      <c r="I164" s="13">
        <f t="shared" si="19"/>
        <v>0.29039999999999999</v>
      </c>
      <c r="J164">
        <f t="shared" si="23"/>
        <v>-0.18876000000000029</v>
      </c>
      <c r="K164" s="13">
        <f t="shared" si="24"/>
        <v>-0.18876000000000029</v>
      </c>
      <c r="M164">
        <f t="shared" si="26"/>
        <v>-0.18801640000000031</v>
      </c>
      <c r="N164">
        <f t="shared" si="21"/>
        <v>0</v>
      </c>
      <c r="O164">
        <f t="shared" si="22"/>
        <v>0</v>
      </c>
    </row>
    <row r="165" spans="5:15">
      <c r="E165" s="14">
        <v>20.619999999999699</v>
      </c>
      <c r="F165" s="14">
        <f>E165/20*Protokoll!$AC$5</f>
        <v>20.619999999999699</v>
      </c>
      <c r="G165" s="14">
        <f t="shared" si="18"/>
        <v>20.62</v>
      </c>
      <c r="H165">
        <f t="shared" si="25"/>
        <v>0.49367999999999979</v>
      </c>
      <c r="I165" s="13">
        <f t="shared" si="19"/>
        <v>0.29039999999999999</v>
      </c>
      <c r="J165">
        <f t="shared" si="23"/>
        <v>-0.18391999999999953</v>
      </c>
      <c r="K165" s="13">
        <f t="shared" si="24"/>
        <v>-0.18391999999999953</v>
      </c>
      <c r="M165">
        <f t="shared" si="26"/>
        <v>-0.18319546666666622</v>
      </c>
      <c r="N165">
        <f t="shared" si="21"/>
        <v>0</v>
      </c>
      <c r="O165">
        <f t="shared" si="22"/>
        <v>0</v>
      </c>
    </row>
    <row r="166" spans="5:15">
      <c r="E166" s="14">
        <v>20.629999999999701</v>
      </c>
      <c r="F166" s="14">
        <f>E166/20*Protokoll!$AC$5</f>
        <v>20.629999999999701</v>
      </c>
      <c r="G166" s="14">
        <f t="shared" si="18"/>
        <v>20.63</v>
      </c>
      <c r="H166">
        <f t="shared" si="25"/>
        <v>0.49851999999999885</v>
      </c>
      <c r="I166" s="13">
        <f t="shared" si="19"/>
        <v>0.29039999999999999</v>
      </c>
      <c r="J166">
        <f t="shared" si="23"/>
        <v>-0.17908000000000049</v>
      </c>
      <c r="K166" s="13">
        <f t="shared" si="24"/>
        <v>-0.17908000000000049</v>
      </c>
      <c r="M166">
        <f t="shared" si="26"/>
        <v>-0.17837453333333383</v>
      </c>
      <c r="N166">
        <f t="shared" si="21"/>
        <v>0</v>
      </c>
      <c r="O166">
        <f t="shared" si="22"/>
        <v>0</v>
      </c>
    </row>
    <row r="167" spans="5:15">
      <c r="E167" s="14">
        <v>20.639999999999699</v>
      </c>
      <c r="F167" s="14">
        <f>E167/20*Protokoll!$AC$5</f>
        <v>20.639999999999699</v>
      </c>
      <c r="G167" s="14">
        <f t="shared" si="18"/>
        <v>20.64</v>
      </c>
      <c r="H167">
        <f t="shared" si="25"/>
        <v>0.50335999999999959</v>
      </c>
      <c r="I167" s="13">
        <f t="shared" si="19"/>
        <v>0.29039999999999999</v>
      </c>
      <c r="J167">
        <f t="shared" si="23"/>
        <v>-0.17423999999999973</v>
      </c>
      <c r="K167" s="13">
        <f t="shared" si="24"/>
        <v>-0.17423999999999973</v>
      </c>
      <c r="M167">
        <f t="shared" si="26"/>
        <v>-0.17355359999999975</v>
      </c>
      <c r="N167">
        <f t="shared" si="21"/>
        <v>0</v>
      </c>
      <c r="O167">
        <f t="shared" si="22"/>
        <v>0</v>
      </c>
    </row>
    <row r="168" spans="5:15">
      <c r="E168" s="14">
        <v>20.6499999999997</v>
      </c>
      <c r="F168" s="14">
        <f>E168/20*Protokoll!$AC$5</f>
        <v>20.6499999999997</v>
      </c>
      <c r="G168" s="14">
        <f t="shared" si="18"/>
        <v>20.65</v>
      </c>
      <c r="H168">
        <f t="shared" si="25"/>
        <v>0.50819999999999865</v>
      </c>
      <c r="I168" s="13">
        <f t="shared" si="19"/>
        <v>0.29039999999999999</v>
      </c>
      <c r="J168">
        <f t="shared" si="23"/>
        <v>-0.16940000000000069</v>
      </c>
      <c r="K168" s="13">
        <f t="shared" si="24"/>
        <v>-0.16940000000000069</v>
      </c>
      <c r="M168">
        <f t="shared" si="26"/>
        <v>-0.16873266666666736</v>
      </c>
      <c r="N168">
        <f t="shared" si="21"/>
        <v>0</v>
      </c>
      <c r="O168">
        <f t="shared" si="22"/>
        <v>0</v>
      </c>
    </row>
    <row r="169" spans="5:15">
      <c r="E169" s="14">
        <v>20.659999999999702</v>
      </c>
      <c r="F169" s="14">
        <f>E169/20*Protokoll!$AC$5</f>
        <v>20.659999999999702</v>
      </c>
      <c r="G169" s="14">
        <f t="shared" si="18"/>
        <v>20.66</v>
      </c>
      <c r="H169">
        <f t="shared" si="25"/>
        <v>0.51303999999999939</v>
      </c>
      <c r="I169" s="13">
        <f t="shared" si="19"/>
        <v>0.29039999999999999</v>
      </c>
      <c r="J169">
        <f t="shared" si="23"/>
        <v>-0.16455999999999993</v>
      </c>
      <c r="K169" s="13">
        <f t="shared" si="24"/>
        <v>-0.16455999999999993</v>
      </c>
      <c r="M169">
        <f t="shared" si="26"/>
        <v>-0.16391173333333328</v>
      </c>
      <c r="N169">
        <f t="shared" si="21"/>
        <v>0</v>
      </c>
      <c r="O169">
        <f t="shared" si="22"/>
        <v>0</v>
      </c>
    </row>
    <row r="170" spans="5:15">
      <c r="E170" s="14">
        <v>20.6699999999997</v>
      </c>
      <c r="F170" s="14">
        <f>E170/20*Protokoll!$AC$5</f>
        <v>20.6699999999997</v>
      </c>
      <c r="G170" s="14">
        <f t="shared" si="18"/>
        <v>20.67</v>
      </c>
      <c r="H170">
        <f t="shared" si="25"/>
        <v>0.51788000000000012</v>
      </c>
      <c r="I170" s="13">
        <f t="shared" si="19"/>
        <v>0.29039999999999999</v>
      </c>
      <c r="J170">
        <f t="shared" si="23"/>
        <v>-0.15971999999999917</v>
      </c>
      <c r="K170" s="13">
        <f t="shared" si="24"/>
        <v>-0.15971999999999917</v>
      </c>
      <c r="M170">
        <f t="shared" si="26"/>
        <v>-0.15909079999999917</v>
      </c>
      <c r="N170">
        <f t="shared" si="21"/>
        <v>0</v>
      </c>
      <c r="O170">
        <f t="shared" si="22"/>
        <v>0</v>
      </c>
    </row>
    <row r="171" spans="5:15">
      <c r="E171" s="14">
        <v>20.679999999999701</v>
      </c>
      <c r="F171" s="14">
        <f>E171/20*Protokoll!$AC$5</f>
        <v>20.679999999999701</v>
      </c>
      <c r="G171" s="14">
        <f t="shared" si="18"/>
        <v>20.68</v>
      </c>
      <c r="H171">
        <f t="shared" si="25"/>
        <v>0.52271999999999919</v>
      </c>
      <c r="I171" s="13">
        <f t="shared" si="19"/>
        <v>0.29039999999999999</v>
      </c>
      <c r="J171">
        <f t="shared" si="23"/>
        <v>-0.15488000000000016</v>
      </c>
      <c r="K171" s="13">
        <f t="shared" si="24"/>
        <v>-0.15488000000000016</v>
      </c>
      <c r="M171">
        <f t="shared" si="26"/>
        <v>-0.15426986666666684</v>
      </c>
      <c r="N171">
        <f t="shared" si="21"/>
        <v>0</v>
      </c>
      <c r="O171">
        <f t="shared" si="22"/>
        <v>0</v>
      </c>
    </row>
    <row r="172" spans="5:15">
      <c r="E172" s="14">
        <v>20.689999999999699</v>
      </c>
      <c r="F172" s="14">
        <f>E172/20*Protokoll!$AC$5</f>
        <v>20.689999999999699</v>
      </c>
      <c r="G172" s="14">
        <f t="shared" si="18"/>
        <v>20.69</v>
      </c>
      <c r="H172">
        <f t="shared" si="25"/>
        <v>0.52755999999999992</v>
      </c>
      <c r="I172" s="13">
        <f t="shared" si="19"/>
        <v>0.29039999999999999</v>
      </c>
      <c r="J172">
        <f t="shared" si="23"/>
        <v>-0.1500399999999994</v>
      </c>
      <c r="K172" s="13">
        <f t="shared" si="24"/>
        <v>-0.1500399999999994</v>
      </c>
      <c r="M172">
        <f t="shared" si="26"/>
        <v>-0.14944893333333276</v>
      </c>
      <c r="N172">
        <f t="shared" si="21"/>
        <v>0</v>
      </c>
      <c r="O172">
        <f t="shared" si="22"/>
        <v>0</v>
      </c>
    </row>
    <row r="173" spans="5:15">
      <c r="E173" s="14">
        <v>20.699999999999701</v>
      </c>
      <c r="F173" s="14">
        <f>E173/20*Protokoll!$AC$5</f>
        <v>20.699999999999701</v>
      </c>
      <c r="G173" s="14">
        <f t="shared" si="18"/>
        <v>20.7</v>
      </c>
      <c r="H173">
        <f t="shared" si="25"/>
        <v>0.53239999999999899</v>
      </c>
      <c r="I173" s="13">
        <f t="shared" si="19"/>
        <v>0.29039999999999999</v>
      </c>
      <c r="J173">
        <f t="shared" si="23"/>
        <v>-0.14520000000000036</v>
      </c>
      <c r="K173" s="13">
        <f t="shared" si="24"/>
        <v>-0.14520000000000036</v>
      </c>
      <c r="M173">
        <f t="shared" si="26"/>
        <v>-0.14462800000000037</v>
      </c>
      <c r="N173">
        <f t="shared" si="21"/>
        <v>0</v>
      </c>
      <c r="O173">
        <f t="shared" si="22"/>
        <v>0</v>
      </c>
    </row>
    <row r="174" spans="5:15">
      <c r="E174" s="14">
        <v>20.709999999999699</v>
      </c>
      <c r="F174" s="14">
        <f>E174/20*Protokoll!$AC$5</f>
        <v>20.709999999999699</v>
      </c>
      <c r="G174" s="14">
        <f t="shared" si="18"/>
        <v>20.71</v>
      </c>
      <c r="H174">
        <f t="shared" si="25"/>
        <v>0.53723999999999972</v>
      </c>
      <c r="I174" s="13">
        <f t="shared" si="19"/>
        <v>0.29039999999999999</v>
      </c>
      <c r="J174">
        <f t="shared" si="23"/>
        <v>-0.1403599999999996</v>
      </c>
      <c r="K174" s="13">
        <f t="shared" si="24"/>
        <v>-0.1403599999999996</v>
      </c>
      <c r="M174">
        <f t="shared" si="26"/>
        <v>-0.13980706666666629</v>
      </c>
      <c r="N174">
        <f t="shared" si="21"/>
        <v>0</v>
      </c>
      <c r="O174">
        <f t="shared" si="22"/>
        <v>0</v>
      </c>
    </row>
    <row r="175" spans="5:15">
      <c r="E175" s="14">
        <v>20.7199999999997</v>
      </c>
      <c r="F175" s="14">
        <f>E175/20*Protokoll!$AC$5</f>
        <v>20.7199999999997</v>
      </c>
      <c r="G175" s="14">
        <f t="shared" si="18"/>
        <v>20.72</v>
      </c>
      <c r="H175">
        <f t="shared" si="25"/>
        <v>0.54207999999999879</v>
      </c>
      <c r="I175" s="13">
        <f t="shared" si="19"/>
        <v>0.29039999999999999</v>
      </c>
      <c r="J175">
        <f t="shared" si="23"/>
        <v>-0.13552000000000056</v>
      </c>
      <c r="K175" s="13">
        <f t="shared" si="24"/>
        <v>-0.13552000000000056</v>
      </c>
      <c r="M175">
        <f t="shared" si="26"/>
        <v>-0.1349861333333339</v>
      </c>
      <c r="N175">
        <f t="shared" si="21"/>
        <v>0</v>
      </c>
      <c r="O175">
        <f t="shared" si="22"/>
        <v>0</v>
      </c>
    </row>
    <row r="176" spans="5:15">
      <c r="E176" s="14">
        <v>20.729999999999698</v>
      </c>
      <c r="F176" s="14">
        <f>E176/20*Protokoll!$AC$5</f>
        <v>20.729999999999698</v>
      </c>
      <c r="G176" s="14">
        <f t="shared" si="18"/>
        <v>20.73</v>
      </c>
      <c r="H176">
        <f t="shared" si="25"/>
        <v>0.54691999999999952</v>
      </c>
      <c r="I176" s="13">
        <f t="shared" si="19"/>
        <v>0.29039999999999999</v>
      </c>
      <c r="J176">
        <f t="shared" si="23"/>
        <v>-0.1306799999999998</v>
      </c>
      <c r="K176" s="13">
        <f t="shared" si="24"/>
        <v>-0.1306799999999998</v>
      </c>
      <c r="M176">
        <f t="shared" si="26"/>
        <v>-0.13016519999999979</v>
      </c>
      <c r="N176">
        <f t="shared" si="21"/>
        <v>0</v>
      </c>
      <c r="O176">
        <f t="shared" si="22"/>
        <v>0</v>
      </c>
    </row>
    <row r="177" spans="5:15">
      <c r="E177" s="14">
        <v>20.7399999999997</v>
      </c>
      <c r="F177" s="14">
        <f>E177/20*Protokoll!$AC$5</f>
        <v>20.7399999999997</v>
      </c>
      <c r="G177" s="14">
        <f t="shared" si="18"/>
        <v>20.74</v>
      </c>
      <c r="H177">
        <f t="shared" si="25"/>
        <v>0.55175999999999858</v>
      </c>
      <c r="I177" s="13">
        <f t="shared" si="19"/>
        <v>0.29039999999999999</v>
      </c>
      <c r="J177">
        <f t="shared" si="23"/>
        <v>-0.12584000000000076</v>
      </c>
      <c r="K177" s="13">
        <f t="shared" si="24"/>
        <v>-0.12584000000000076</v>
      </c>
      <c r="M177">
        <f t="shared" si="26"/>
        <v>-0.12534426666666743</v>
      </c>
      <c r="N177">
        <f t="shared" si="21"/>
        <v>0</v>
      </c>
      <c r="O177">
        <f t="shared" si="22"/>
        <v>0</v>
      </c>
    </row>
    <row r="178" spans="5:15">
      <c r="E178" s="14">
        <v>20.749999999999702</v>
      </c>
      <c r="F178" s="14">
        <f>E178/20*Protokoll!$AC$5</f>
        <v>20.749999999999702</v>
      </c>
      <c r="G178" s="14">
        <f t="shared" si="18"/>
        <v>20.75</v>
      </c>
      <c r="H178">
        <f t="shared" si="25"/>
        <v>0.55659999999999932</v>
      </c>
      <c r="I178" s="13">
        <f t="shared" si="19"/>
        <v>0.29039999999999999</v>
      </c>
      <c r="J178">
        <f t="shared" si="23"/>
        <v>-0.121</v>
      </c>
      <c r="K178" s="13">
        <f t="shared" si="24"/>
        <v>-0.121</v>
      </c>
      <c r="M178">
        <f t="shared" si="26"/>
        <v>-0.12052333333333334</v>
      </c>
      <c r="N178">
        <f t="shared" si="21"/>
        <v>0</v>
      </c>
      <c r="O178">
        <f t="shared" si="22"/>
        <v>0</v>
      </c>
    </row>
    <row r="179" spans="5:15">
      <c r="E179" s="14">
        <v>20.7599999999996</v>
      </c>
      <c r="F179" s="14">
        <f>E179/20*Protokoll!$AC$5</f>
        <v>20.7599999999996</v>
      </c>
      <c r="G179" s="14">
        <f t="shared" si="18"/>
        <v>20.76</v>
      </c>
      <c r="H179">
        <f t="shared" si="25"/>
        <v>0.56144000000000005</v>
      </c>
      <c r="I179" s="13">
        <f t="shared" si="19"/>
        <v>0.29039999999999999</v>
      </c>
      <c r="J179">
        <f t="shared" si="23"/>
        <v>-0.11615999999999925</v>
      </c>
      <c r="K179" s="13">
        <f t="shared" si="24"/>
        <v>-0.11615999999999925</v>
      </c>
      <c r="M179">
        <f t="shared" si="26"/>
        <v>-0.11570239999999926</v>
      </c>
      <c r="N179">
        <f t="shared" si="21"/>
        <v>0</v>
      </c>
      <c r="O179">
        <f t="shared" si="22"/>
        <v>0</v>
      </c>
    </row>
    <row r="180" spans="5:15">
      <c r="E180" s="14">
        <v>20.769999999999701</v>
      </c>
      <c r="F180" s="14">
        <f>E180/20*Protokoll!$AC$5</f>
        <v>20.769999999999701</v>
      </c>
      <c r="G180" s="14">
        <f t="shared" si="18"/>
        <v>20.77</v>
      </c>
      <c r="H180">
        <f t="shared" si="25"/>
        <v>0.56627999999999912</v>
      </c>
      <c r="I180" s="13">
        <f t="shared" si="19"/>
        <v>0.29039999999999999</v>
      </c>
      <c r="J180">
        <f t="shared" si="23"/>
        <v>-0.11132000000000021</v>
      </c>
      <c r="K180" s="13">
        <f t="shared" si="24"/>
        <v>-0.11132000000000021</v>
      </c>
      <c r="M180">
        <f t="shared" si="26"/>
        <v>-0.11088146666666689</v>
      </c>
      <c r="N180">
        <f t="shared" si="21"/>
        <v>0</v>
      </c>
      <c r="O180">
        <f t="shared" si="22"/>
        <v>0</v>
      </c>
    </row>
    <row r="181" spans="5:15">
      <c r="E181" s="14">
        <v>20.779999999999699</v>
      </c>
      <c r="F181" s="14">
        <f>E181/20*Protokoll!$AC$5</f>
        <v>20.779999999999703</v>
      </c>
      <c r="G181" s="14">
        <f t="shared" si="18"/>
        <v>20.78</v>
      </c>
      <c r="H181">
        <f t="shared" si="25"/>
        <v>0.57111999999999985</v>
      </c>
      <c r="I181" s="13">
        <f t="shared" si="19"/>
        <v>0.29039999999999999</v>
      </c>
      <c r="J181">
        <f t="shared" si="23"/>
        <v>-0.10647999999999946</v>
      </c>
      <c r="K181" s="13">
        <f t="shared" si="24"/>
        <v>-0.10647999999999946</v>
      </c>
      <c r="M181">
        <f t="shared" si="26"/>
        <v>-0.1060605333333328</v>
      </c>
      <c r="N181">
        <f t="shared" si="21"/>
        <v>0</v>
      </c>
      <c r="O181">
        <f t="shared" si="22"/>
        <v>0</v>
      </c>
    </row>
    <row r="182" spans="5:15">
      <c r="E182" s="14">
        <v>20.789999999999701</v>
      </c>
      <c r="F182" s="14">
        <f>E182/20*Protokoll!$AC$5</f>
        <v>20.789999999999701</v>
      </c>
      <c r="G182" s="14">
        <f t="shared" si="18"/>
        <v>20.79</v>
      </c>
      <c r="H182">
        <f t="shared" si="25"/>
        <v>0.57595999999999892</v>
      </c>
      <c r="I182" s="13">
        <f t="shared" si="19"/>
        <v>0.29039999999999999</v>
      </c>
      <c r="J182">
        <f t="shared" si="23"/>
        <v>-0.10164000000000041</v>
      </c>
      <c r="K182" s="13">
        <f t="shared" si="24"/>
        <v>-0.10164000000000041</v>
      </c>
      <c r="M182">
        <f t="shared" si="26"/>
        <v>-0.10123960000000042</v>
      </c>
      <c r="N182">
        <f t="shared" si="21"/>
        <v>0</v>
      </c>
      <c r="O182">
        <f t="shared" si="22"/>
        <v>0</v>
      </c>
    </row>
    <row r="183" spans="5:15">
      <c r="E183" s="14">
        <v>20.799999999999599</v>
      </c>
      <c r="F183" s="14">
        <f>E183/20*Protokoll!$AC$5</f>
        <v>20.799999999999599</v>
      </c>
      <c r="G183" s="14">
        <f t="shared" si="18"/>
        <v>20.8</v>
      </c>
      <c r="H183">
        <f t="shared" si="25"/>
        <v>0.58079999999999965</v>
      </c>
      <c r="I183" s="13">
        <f t="shared" si="19"/>
        <v>0.29039999999999999</v>
      </c>
      <c r="J183">
        <f t="shared" si="23"/>
        <v>-9.679999999999965E-2</v>
      </c>
      <c r="K183" s="13">
        <f t="shared" si="24"/>
        <v>-9.679999999999965E-2</v>
      </c>
      <c r="M183">
        <f t="shared" si="26"/>
        <v>-9.6418666666666333E-2</v>
      </c>
      <c r="N183">
        <f t="shared" si="21"/>
        <v>0</v>
      </c>
      <c r="O183">
        <f t="shared" si="22"/>
        <v>0</v>
      </c>
    </row>
    <row r="184" spans="5:15">
      <c r="E184" s="14">
        <v>20.809999999999601</v>
      </c>
      <c r="F184" s="14">
        <f>E184/20*Protokoll!$AC$5</f>
        <v>20.809999999999601</v>
      </c>
      <c r="G184" s="14">
        <f t="shared" si="18"/>
        <v>20.81</v>
      </c>
      <c r="H184">
        <f t="shared" si="25"/>
        <v>0.58563999999999872</v>
      </c>
      <c r="I184" s="13">
        <f t="shared" si="19"/>
        <v>0.29039999999999999</v>
      </c>
      <c r="J184">
        <f t="shared" si="23"/>
        <v>-9.1960000000000625E-2</v>
      </c>
      <c r="K184" s="13">
        <f t="shared" si="24"/>
        <v>-9.1960000000000625E-2</v>
      </c>
      <c r="M184">
        <f t="shared" si="26"/>
        <v>-9.1597733333333958E-2</v>
      </c>
      <c r="N184">
        <f t="shared" si="21"/>
        <v>0</v>
      </c>
      <c r="O184">
        <f t="shared" si="22"/>
        <v>0</v>
      </c>
    </row>
    <row r="185" spans="5:15">
      <c r="E185" s="14">
        <v>20.819999999999599</v>
      </c>
      <c r="F185" s="14">
        <f>E185/20*Protokoll!$AC$5</f>
        <v>20.819999999999599</v>
      </c>
      <c r="G185" s="14">
        <f t="shared" si="18"/>
        <v>20.82</v>
      </c>
      <c r="H185">
        <f t="shared" si="25"/>
        <v>0.59047999999999945</v>
      </c>
      <c r="I185" s="13">
        <f t="shared" si="19"/>
        <v>0.29039999999999999</v>
      </c>
      <c r="J185">
        <f t="shared" si="23"/>
        <v>-8.7119999999999864E-2</v>
      </c>
      <c r="K185" s="13">
        <f t="shared" si="24"/>
        <v>-8.7119999999999864E-2</v>
      </c>
      <c r="M185">
        <f t="shared" si="26"/>
        <v>-8.6776799999999876E-2</v>
      </c>
      <c r="N185">
        <f t="shared" si="21"/>
        <v>0</v>
      </c>
      <c r="O185">
        <f t="shared" si="22"/>
        <v>0</v>
      </c>
    </row>
    <row r="186" spans="5:15">
      <c r="E186" s="14">
        <v>20.8299999999996</v>
      </c>
      <c r="F186" s="14">
        <f>E186/20*Protokoll!$AC$5</f>
        <v>20.8299999999996</v>
      </c>
      <c r="G186" s="14">
        <f t="shared" si="18"/>
        <v>20.83</v>
      </c>
      <c r="H186">
        <f t="shared" si="25"/>
        <v>0.59531999999999852</v>
      </c>
      <c r="I186" s="13">
        <f t="shared" si="19"/>
        <v>0.29039999999999999</v>
      </c>
      <c r="J186">
        <f t="shared" si="23"/>
        <v>-8.2280000000000839E-2</v>
      </c>
      <c r="K186" s="13">
        <f t="shared" si="24"/>
        <v>-8.2280000000000839E-2</v>
      </c>
      <c r="M186">
        <f t="shared" si="26"/>
        <v>-8.1955866666667501E-2</v>
      </c>
      <c r="N186">
        <f t="shared" si="21"/>
        <v>0</v>
      </c>
      <c r="O186">
        <f t="shared" si="22"/>
        <v>0</v>
      </c>
    </row>
    <row r="187" spans="5:15">
      <c r="E187" s="14">
        <v>20.839999999999598</v>
      </c>
      <c r="F187" s="14">
        <f>E187/20*Protokoll!$AC$5</f>
        <v>20.839999999999598</v>
      </c>
      <c r="G187" s="14">
        <f t="shared" si="18"/>
        <v>20.84</v>
      </c>
      <c r="H187">
        <f t="shared" si="25"/>
        <v>0.60015999999999925</v>
      </c>
      <c r="I187" s="13">
        <f t="shared" si="19"/>
        <v>0.29039999999999999</v>
      </c>
      <c r="J187">
        <f t="shared" si="23"/>
        <v>-7.7440000000000078E-2</v>
      </c>
      <c r="K187" s="13">
        <f t="shared" si="24"/>
        <v>-7.7440000000000078E-2</v>
      </c>
      <c r="M187">
        <f t="shared" si="26"/>
        <v>-7.7134933333333419E-2</v>
      </c>
      <c r="N187">
        <f t="shared" si="21"/>
        <v>0</v>
      </c>
      <c r="O187">
        <f t="shared" si="22"/>
        <v>0</v>
      </c>
    </row>
    <row r="188" spans="5:15">
      <c r="E188" s="14">
        <v>20.8499999999996</v>
      </c>
      <c r="F188" s="14">
        <f>E188/20*Protokoll!$AC$5</f>
        <v>20.8499999999996</v>
      </c>
      <c r="G188" s="14">
        <f t="shared" si="18"/>
        <v>20.85</v>
      </c>
      <c r="H188">
        <f t="shared" si="25"/>
        <v>0.60499999999999998</v>
      </c>
      <c r="I188" s="13">
        <f t="shared" si="19"/>
        <v>0.29039999999999999</v>
      </c>
      <c r="J188">
        <f t="shared" si="23"/>
        <v>-7.2599999999999318E-2</v>
      </c>
      <c r="K188" s="13">
        <f t="shared" si="24"/>
        <v>-7.2599999999999318E-2</v>
      </c>
      <c r="N188">
        <f t="shared" si="21"/>
        <v>0</v>
      </c>
      <c r="O188">
        <f t="shared" si="22"/>
        <v>0</v>
      </c>
    </row>
    <row r="189" spans="5:15">
      <c r="E189" s="14">
        <v>20.859999999999602</v>
      </c>
      <c r="F189" s="14">
        <f>E189/20*Protokoll!$AC$5</f>
        <v>20.859999999999602</v>
      </c>
      <c r="G189" s="14">
        <f t="shared" si="18"/>
        <v>20.86</v>
      </c>
      <c r="H189">
        <f t="shared" si="25"/>
        <v>0.60983999999999916</v>
      </c>
      <c r="I189" s="13">
        <f t="shared" si="19"/>
        <v>0.29039999999999999</v>
      </c>
      <c r="J189">
        <f t="shared" si="23"/>
        <v>-6.7760000000000278E-2</v>
      </c>
      <c r="K189" s="13">
        <f t="shared" si="24"/>
        <v>-6.7760000000000278E-2</v>
      </c>
      <c r="N189">
        <f t="shared" si="21"/>
        <v>0</v>
      </c>
      <c r="O189">
        <f t="shared" si="22"/>
        <v>0</v>
      </c>
    </row>
    <row r="190" spans="5:15">
      <c r="E190" s="14">
        <v>20.8699999999996</v>
      </c>
      <c r="F190" s="14">
        <f>E190/20*Protokoll!$AC$5</f>
        <v>20.8699999999996</v>
      </c>
      <c r="G190" s="14">
        <f t="shared" si="18"/>
        <v>20.87</v>
      </c>
      <c r="H190">
        <f t="shared" si="25"/>
        <v>0.61467999999999989</v>
      </c>
      <c r="I190" s="13">
        <f t="shared" si="19"/>
        <v>0.29039999999999999</v>
      </c>
      <c r="J190">
        <f t="shared" si="23"/>
        <v>-6.2919999999999518E-2</v>
      </c>
      <c r="K190" s="13">
        <f t="shared" si="24"/>
        <v>-6.2919999999999518E-2</v>
      </c>
      <c r="N190">
        <f t="shared" si="21"/>
        <v>0</v>
      </c>
      <c r="O190">
        <f t="shared" si="22"/>
        <v>0</v>
      </c>
    </row>
    <row r="191" spans="5:15">
      <c r="E191" s="14">
        <v>20.879999999999601</v>
      </c>
      <c r="F191" s="14">
        <f>E191/20*Protokoll!$AC$5</f>
        <v>20.879999999999601</v>
      </c>
      <c r="G191" s="14">
        <f t="shared" si="18"/>
        <v>20.88</v>
      </c>
      <c r="H191">
        <f t="shared" si="25"/>
        <v>0.61951999999999885</v>
      </c>
      <c r="I191" s="13">
        <f t="shared" si="19"/>
        <v>0.29039999999999999</v>
      </c>
      <c r="J191">
        <f t="shared" si="23"/>
        <v>-5.8080000000000485E-2</v>
      </c>
      <c r="K191" s="13">
        <f t="shared" si="24"/>
        <v>-5.8080000000000485E-2</v>
      </c>
      <c r="N191">
        <f t="shared" si="21"/>
        <v>0</v>
      </c>
      <c r="O191">
        <f t="shared" si="22"/>
        <v>0</v>
      </c>
    </row>
    <row r="192" spans="5:15">
      <c r="E192" s="14">
        <v>20.889999999999599</v>
      </c>
      <c r="F192" s="14">
        <f>E192/20*Protokoll!$AC$5</f>
        <v>20.889999999999599</v>
      </c>
      <c r="G192" s="14">
        <f t="shared" si="18"/>
        <v>20.89</v>
      </c>
      <c r="H192">
        <f t="shared" si="25"/>
        <v>0.62435999999999958</v>
      </c>
      <c r="I192" s="13">
        <f t="shared" si="19"/>
        <v>0.29039999999999999</v>
      </c>
      <c r="J192">
        <f t="shared" si="23"/>
        <v>-5.3239999999999732E-2</v>
      </c>
      <c r="K192" s="13">
        <f t="shared" si="24"/>
        <v>-5.3239999999999732E-2</v>
      </c>
      <c r="N192">
        <f t="shared" si="21"/>
        <v>0</v>
      </c>
      <c r="O192">
        <f t="shared" si="22"/>
        <v>0</v>
      </c>
    </row>
    <row r="193" spans="5:15">
      <c r="E193" s="14">
        <v>20.899999999999601</v>
      </c>
      <c r="F193" s="14">
        <f>E193/20*Protokoll!$AC$5</f>
        <v>20.899999999999601</v>
      </c>
      <c r="G193" s="14">
        <f t="shared" si="18"/>
        <v>20.9</v>
      </c>
      <c r="H193">
        <f t="shared" si="25"/>
        <v>0.62919999999999865</v>
      </c>
      <c r="I193" s="13">
        <f t="shared" si="19"/>
        <v>0.29039999999999999</v>
      </c>
      <c r="J193">
        <f t="shared" si="23"/>
        <v>-4.8400000000000692E-2</v>
      </c>
      <c r="K193" s="13">
        <f t="shared" si="24"/>
        <v>-4.8400000000000692E-2</v>
      </c>
      <c r="N193">
        <f t="shared" si="21"/>
        <v>0</v>
      </c>
      <c r="O193">
        <f t="shared" si="22"/>
        <v>0</v>
      </c>
    </row>
    <row r="194" spans="5:15">
      <c r="E194" s="14">
        <v>20.909999999999599</v>
      </c>
      <c r="F194" s="14">
        <f>E194/20*Protokoll!$AC$5</f>
        <v>20.909999999999599</v>
      </c>
      <c r="G194" s="14">
        <f t="shared" si="18"/>
        <v>20.91</v>
      </c>
      <c r="H194">
        <f t="shared" si="25"/>
        <v>0.63403999999999938</v>
      </c>
      <c r="I194" s="13">
        <f t="shared" si="19"/>
        <v>0.29039999999999999</v>
      </c>
      <c r="J194">
        <f t="shared" si="23"/>
        <v>-4.3559999999999932E-2</v>
      </c>
      <c r="K194" s="13">
        <f t="shared" si="24"/>
        <v>-4.3559999999999932E-2</v>
      </c>
      <c r="N194">
        <f t="shared" si="21"/>
        <v>0</v>
      </c>
      <c r="O194">
        <f t="shared" si="22"/>
        <v>0</v>
      </c>
    </row>
    <row r="195" spans="5:15">
      <c r="E195" s="14">
        <v>20.9199999999996</v>
      </c>
      <c r="F195" s="14">
        <f>E195/20*Protokoll!$AC$5</f>
        <v>20.9199999999996</v>
      </c>
      <c r="G195" s="14">
        <f t="shared" ref="G195:G258" si="27">ROUND(F195,2)</f>
        <v>20.92</v>
      </c>
      <c r="H195">
        <f t="shared" si="25"/>
        <v>0.63888000000000011</v>
      </c>
      <c r="I195" s="13">
        <f t="shared" ref="I195:I258" si="28">IF(H195&gt;=$C$13,$C$13,H195)</f>
        <v>0.29039999999999999</v>
      </c>
      <c r="J195">
        <f t="shared" si="23"/>
        <v>-3.8719999999999179E-2</v>
      </c>
      <c r="K195" s="13">
        <f t="shared" si="24"/>
        <v>-3.8719999999999179E-2</v>
      </c>
      <c r="N195">
        <f t="shared" ref="N195:N258" si="29">$B$3/$B$2*I195</f>
        <v>0</v>
      </c>
      <c r="O195">
        <f t="shared" ref="O195:O258" si="30">$B$3/$B$2*K195</f>
        <v>0</v>
      </c>
    </row>
    <row r="196" spans="5:15">
      <c r="E196" s="14">
        <v>20.929999999999598</v>
      </c>
      <c r="F196" s="14">
        <f>E196/20*Protokoll!$AC$5</f>
        <v>20.929999999999602</v>
      </c>
      <c r="G196" s="14">
        <f t="shared" si="27"/>
        <v>20.93</v>
      </c>
      <c r="H196">
        <f t="shared" si="25"/>
        <v>0.64371999999999929</v>
      </c>
      <c r="I196" s="13">
        <f t="shared" si="28"/>
        <v>0.29039999999999999</v>
      </c>
      <c r="J196">
        <f t="shared" ref="J196:J259" si="31">0.33*$B$2*((G196-$B$9)/$B$15)</f>
        <v>-3.3880000000000139E-2</v>
      </c>
      <c r="K196" s="13">
        <f t="shared" ref="K196:K259" si="32">IF(G196&lt;=$B$10,
         IF(J196&lt;=$C$14,$C$14,J196),
                $C$10)</f>
        <v>-3.3880000000000139E-2</v>
      </c>
      <c r="N196">
        <f t="shared" si="29"/>
        <v>0</v>
      </c>
      <c r="O196">
        <f t="shared" si="30"/>
        <v>0</v>
      </c>
    </row>
    <row r="197" spans="5:15">
      <c r="E197" s="14">
        <v>20.9399999999996</v>
      </c>
      <c r="F197" s="14">
        <f>E197/20*Protokoll!$AC$5</f>
        <v>20.9399999999996</v>
      </c>
      <c r="G197" s="14">
        <f t="shared" si="27"/>
        <v>20.94</v>
      </c>
      <c r="H197">
        <f t="shared" ref="H197:H260" si="33">-0.33*$B$2*(($B$7-G197)/$B$15)</f>
        <v>0.64856000000000003</v>
      </c>
      <c r="I197" s="13">
        <f t="shared" si="28"/>
        <v>0.29039999999999999</v>
      </c>
      <c r="J197">
        <f t="shared" si="31"/>
        <v>-2.9039999999999379E-2</v>
      </c>
      <c r="K197" s="13">
        <f t="shared" si="32"/>
        <v>-2.9039999999999379E-2</v>
      </c>
      <c r="N197">
        <f t="shared" si="29"/>
        <v>0</v>
      </c>
      <c r="O197">
        <f t="shared" si="30"/>
        <v>0</v>
      </c>
    </row>
    <row r="198" spans="5:15">
      <c r="E198" s="14">
        <v>20.949999999999601</v>
      </c>
      <c r="F198" s="14">
        <f>E198/20*Protokoll!$AC$5</f>
        <v>20.949999999999601</v>
      </c>
      <c r="G198" s="14">
        <f t="shared" si="27"/>
        <v>20.95</v>
      </c>
      <c r="H198">
        <f t="shared" si="33"/>
        <v>0.65339999999999898</v>
      </c>
      <c r="I198" s="13">
        <f t="shared" si="28"/>
        <v>0.29039999999999999</v>
      </c>
      <c r="J198">
        <f t="shared" si="31"/>
        <v>-2.4200000000000346E-2</v>
      </c>
      <c r="K198" s="13">
        <f t="shared" si="32"/>
        <v>-2.4200000000000346E-2</v>
      </c>
      <c r="N198">
        <f t="shared" si="29"/>
        <v>0</v>
      </c>
      <c r="O198">
        <f t="shared" si="30"/>
        <v>0</v>
      </c>
    </row>
    <row r="199" spans="5:15">
      <c r="E199" s="14">
        <v>20.959999999999599</v>
      </c>
      <c r="F199" s="14">
        <f>E199/20*Protokoll!$AC$5</f>
        <v>20.959999999999603</v>
      </c>
      <c r="G199" s="14">
        <f t="shared" si="27"/>
        <v>20.96</v>
      </c>
      <c r="H199">
        <f t="shared" si="33"/>
        <v>0.65823999999999971</v>
      </c>
      <c r="I199" s="13">
        <f t="shared" si="28"/>
        <v>0.29039999999999999</v>
      </c>
      <c r="J199">
        <f t="shared" si="31"/>
        <v>-1.9359999999999589E-2</v>
      </c>
      <c r="K199" s="13">
        <f t="shared" si="32"/>
        <v>-1.9359999999999589E-2</v>
      </c>
      <c r="N199">
        <f t="shared" si="29"/>
        <v>0</v>
      </c>
      <c r="O199">
        <f t="shared" si="30"/>
        <v>0</v>
      </c>
    </row>
    <row r="200" spans="5:15">
      <c r="E200" s="14">
        <v>20.969999999999601</v>
      </c>
      <c r="F200" s="14">
        <f>E200/20*Protokoll!$AC$5</f>
        <v>20.969999999999601</v>
      </c>
      <c r="G200" s="14">
        <f t="shared" si="27"/>
        <v>20.97</v>
      </c>
      <c r="H200">
        <f t="shared" si="33"/>
        <v>0.66307999999999878</v>
      </c>
      <c r="I200" s="13">
        <f t="shared" si="28"/>
        <v>0.29039999999999999</v>
      </c>
      <c r="J200">
        <f t="shared" si="31"/>
        <v>-1.452000000000055E-2</v>
      </c>
      <c r="K200" s="13">
        <f t="shared" si="32"/>
        <v>-1.452000000000055E-2</v>
      </c>
      <c r="N200">
        <f t="shared" si="29"/>
        <v>0</v>
      </c>
      <c r="O200">
        <f t="shared" si="30"/>
        <v>0</v>
      </c>
    </row>
    <row r="201" spans="5:15">
      <c r="E201" s="14">
        <v>20.979999999999599</v>
      </c>
      <c r="F201" s="14">
        <f>E201/20*Protokoll!$AC$5</f>
        <v>20.979999999999599</v>
      </c>
      <c r="G201" s="14">
        <f t="shared" si="27"/>
        <v>20.98</v>
      </c>
      <c r="H201">
        <f t="shared" si="33"/>
        <v>0.66791999999999951</v>
      </c>
      <c r="I201" s="13">
        <f t="shared" si="28"/>
        <v>0.29039999999999999</v>
      </c>
      <c r="J201">
        <f t="shared" si="31"/>
        <v>-9.6799999999997947E-3</v>
      </c>
      <c r="K201" s="13">
        <f t="shared" si="32"/>
        <v>-9.6799999999997947E-3</v>
      </c>
      <c r="N201">
        <f t="shared" si="29"/>
        <v>0</v>
      </c>
      <c r="O201">
        <f t="shared" si="30"/>
        <v>0</v>
      </c>
    </row>
    <row r="202" spans="5:15">
      <c r="E202" s="14">
        <v>20.989999999999601</v>
      </c>
      <c r="F202" s="14">
        <f>E202/20*Protokoll!$AC$5</f>
        <v>20.989999999999604</v>
      </c>
      <c r="G202" s="14">
        <f t="shared" si="27"/>
        <v>20.99</v>
      </c>
      <c r="H202">
        <f t="shared" si="33"/>
        <v>0.67275999999999858</v>
      </c>
      <c r="I202" s="13">
        <f t="shared" si="28"/>
        <v>0.29039999999999999</v>
      </c>
      <c r="J202">
        <f t="shared" si="31"/>
        <v>-4.840000000000756E-3</v>
      </c>
      <c r="K202" s="13">
        <f t="shared" si="32"/>
        <v>-4.840000000000756E-3</v>
      </c>
      <c r="N202">
        <f t="shared" si="29"/>
        <v>0</v>
      </c>
      <c r="O202">
        <f t="shared" si="30"/>
        <v>0</v>
      </c>
    </row>
    <row r="203" spans="5:15">
      <c r="E203" s="14">
        <v>20.999999999999599</v>
      </c>
      <c r="F203" s="14">
        <f>E203/20*Protokoll!$AC$5</f>
        <v>20.999999999999595</v>
      </c>
      <c r="G203" s="14">
        <f t="shared" si="27"/>
        <v>21</v>
      </c>
      <c r="H203">
        <f t="shared" si="33"/>
        <v>0.67759999999999942</v>
      </c>
      <c r="I203" s="13">
        <f t="shared" si="28"/>
        <v>0.29039999999999999</v>
      </c>
      <c r="J203">
        <f t="shared" si="31"/>
        <v>0</v>
      </c>
      <c r="K203" s="13">
        <f t="shared" si="32"/>
        <v>0</v>
      </c>
      <c r="N203">
        <f t="shared" si="29"/>
        <v>0</v>
      </c>
      <c r="O203">
        <f t="shared" si="30"/>
        <v>0</v>
      </c>
    </row>
    <row r="204" spans="5:15">
      <c r="E204" s="14">
        <v>21.0099999999996</v>
      </c>
      <c r="F204" s="14">
        <f>E204/20*Protokoll!$AC$5</f>
        <v>21.0099999999996</v>
      </c>
      <c r="G204" s="14">
        <f t="shared" si="27"/>
        <v>21.01</v>
      </c>
      <c r="H204">
        <f t="shared" si="33"/>
        <v>0.68244000000000016</v>
      </c>
      <c r="I204" s="13">
        <f t="shared" si="28"/>
        <v>0.29039999999999999</v>
      </c>
      <c r="J204">
        <f t="shared" si="31"/>
        <v>4.840000000000756E-3</v>
      </c>
      <c r="K204" s="13">
        <f t="shared" si="32"/>
        <v>4.840000000000756E-3</v>
      </c>
      <c r="N204">
        <f t="shared" si="29"/>
        <v>0</v>
      </c>
      <c r="O204">
        <f t="shared" si="30"/>
        <v>0</v>
      </c>
    </row>
    <row r="205" spans="5:15">
      <c r="E205" s="14">
        <v>21.019999999999602</v>
      </c>
      <c r="F205" s="14">
        <f>E205/20*Protokoll!$AC$5</f>
        <v>21.019999999999605</v>
      </c>
      <c r="G205" s="14">
        <f t="shared" si="27"/>
        <v>21.02</v>
      </c>
      <c r="H205">
        <f t="shared" si="33"/>
        <v>0.68727999999999911</v>
      </c>
      <c r="I205" s="13">
        <f t="shared" si="28"/>
        <v>0.29039999999999999</v>
      </c>
      <c r="J205">
        <f t="shared" si="31"/>
        <v>9.6799999999997947E-3</v>
      </c>
      <c r="K205" s="13">
        <f t="shared" si="32"/>
        <v>9.6799999999997947E-3</v>
      </c>
      <c r="N205">
        <f t="shared" si="29"/>
        <v>0</v>
      </c>
      <c r="O205">
        <f t="shared" si="30"/>
        <v>0</v>
      </c>
    </row>
    <row r="206" spans="5:15">
      <c r="E206" s="14">
        <v>21.0299999999996</v>
      </c>
      <c r="F206" s="14">
        <f>E206/20*Protokoll!$AC$5</f>
        <v>21.029999999999596</v>
      </c>
      <c r="G206" s="14">
        <f t="shared" si="27"/>
        <v>21.03</v>
      </c>
      <c r="H206">
        <f t="shared" si="33"/>
        <v>0.69211999999999985</v>
      </c>
      <c r="I206" s="13">
        <f t="shared" si="28"/>
        <v>0.29039999999999999</v>
      </c>
      <c r="J206">
        <f t="shared" si="31"/>
        <v>1.452000000000055E-2</v>
      </c>
      <c r="K206" s="13">
        <f t="shared" si="32"/>
        <v>1.452000000000055E-2</v>
      </c>
      <c r="N206">
        <f t="shared" si="29"/>
        <v>0</v>
      </c>
      <c r="O206">
        <f t="shared" si="30"/>
        <v>0</v>
      </c>
    </row>
    <row r="207" spans="5:15">
      <c r="E207" s="14">
        <v>21.039999999999601</v>
      </c>
      <c r="F207" s="14">
        <f>E207/20*Protokoll!$AC$5</f>
        <v>21.039999999999601</v>
      </c>
      <c r="G207" s="14">
        <f t="shared" si="27"/>
        <v>21.04</v>
      </c>
      <c r="H207">
        <f t="shared" si="33"/>
        <v>0.69695999999999891</v>
      </c>
      <c r="I207" s="13">
        <f t="shared" si="28"/>
        <v>0.29039999999999999</v>
      </c>
      <c r="J207">
        <f t="shared" si="31"/>
        <v>1.9359999999999589E-2</v>
      </c>
      <c r="K207" s="13">
        <f t="shared" si="32"/>
        <v>1.9359999999999589E-2</v>
      </c>
      <c r="N207">
        <f t="shared" si="29"/>
        <v>0</v>
      </c>
      <c r="O207">
        <f t="shared" si="30"/>
        <v>0</v>
      </c>
    </row>
    <row r="208" spans="5:15">
      <c r="E208" s="14">
        <v>21.049999999999599</v>
      </c>
      <c r="F208" s="14">
        <f>E208/20*Protokoll!$AC$5</f>
        <v>21.049999999999599</v>
      </c>
      <c r="G208" s="14">
        <f t="shared" si="27"/>
        <v>21.05</v>
      </c>
      <c r="H208">
        <f t="shared" si="33"/>
        <v>0.70179999999999965</v>
      </c>
      <c r="I208" s="13">
        <f t="shared" si="28"/>
        <v>0.29039999999999999</v>
      </c>
      <c r="J208">
        <f t="shared" si="31"/>
        <v>2.4200000000000346E-2</v>
      </c>
      <c r="K208" s="13">
        <f t="shared" si="32"/>
        <v>2.4200000000000346E-2</v>
      </c>
      <c r="N208">
        <f t="shared" si="29"/>
        <v>0</v>
      </c>
      <c r="O208">
        <f t="shared" si="30"/>
        <v>0</v>
      </c>
    </row>
    <row r="209" spans="5:15">
      <c r="E209" s="14">
        <v>21.059999999999601</v>
      </c>
      <c r="F209" s="14">
        <f>E209/20*Protokoll!$AC$5</f>
        <v>21.059999999999597</v>
      </c>
      <c r="G209" s="14">
        <f t="shared" si="27"/>
        <v>21.06</v>
      </c>
      <c r="H209">
        <f t="shared" si="33"/>
        <v>0.70663999999999871</v>
      </c>
      <c r="I209" s="13">
        <f t="shared" si="28"/>
        <v>0.29039999999999999</v>
      </c>
      <c r="J209">
        <f t="shared" si="31"/>
        <v>2.9039999999999379E-2</v>
      </c>
      <c r="K209" s="13">
        <f t="shared" si="32"/>
        <v>2.9039999999999379E-2</v>
      </c>
      <c r="N209">
        <f t="shared" si="29"/>
        <v>0</v>
      </c>
      <c r="O209">
        <f t="shared" si="30"/>
        <v>0</v>
      </c>
    </row>
    <row r="210" spans="5:15">
      <c r="E210" s="14">
        <v>21.069999999999599</v>
      </c>
      <c r="F210" s="14">
        <f>E210/20*Protokoll!$AC$5</f>
        <v>21.069999999999599</v>
      </c>
      <c r="G210" s="14">
        <f t="shared" si="27"/>
        <v>21.07</v>
      </c>
      <c r="H210">
        <f t="shared" si="33"/>
        <v>0.71147999999999956</v>
      </c>
      <c r="I210" s="13">
        <f t="shared" si="28"/>
        <v>0.29039999999999999</v>
      </c>
      <c r="J210">
        <f t="shared" si="31"/>
        <v>3.3880000000000139E-2</v>
      </c>
      <c r="K210" s="13">
        <f t="shared" si="32"/>
        <v>3.3880000000000139E-2</v>
      </c>
      <c r="N210">
        <f t="shared" si="29"/>
        <v>0</v>
      </c>
      <c r="O210">
        <f t="shared" si="30"/>
        <v>0</v>
      </c>
    </row>
    <row r="211" spans="5:15">
      <c r="E211" s="14">
        <v>21.0799999999996</v>
      </c>
      <c r="F211" s="14">
        <f>E211/20*Protokoll!$AC$5</f>
        <v>21.0799999999996</v>
      </c>
      <c r="G211" s="14">
        <f t="shared" si="27"/>
        <v>21.08</v>
      </c>
      <c r="H211">
        <f t="shared" si="33"/>
        <v>0.71631999999999851</v>
      </c>
      <c r="I211" s="13">
        <f t="shared" si="28"/>
        <v>0.29039999999999999</v>
      </c>
      <c r="J211">
        <f t="shared" si="31"/>
        <v>3.8719999999999179E-2</v>
      </c>
      <c r="K211" s="13">
        <f t="shared" si="32"/>
        <v>3.8719999999999179E-2</v>
      </c>
      <c r="N211">
        <f t="shared" si="29"/>
        <v>0</v>
      </c>
      <c r="O211">
        <f t="shared" si="30"/>
        <v>0</v>
      </c>
    </row>
    <row r="212" spans="5:15">
      <c r="E212" s="14">
        <v>21.089999999999598</v>
      </c>
      <c r="F212" s="14">
        <f>E212/20*Protokoll!$AC$5</f>
        <v>21.089999999999598</v>
      </c>
      <c r="G212" s="14">
        <f t="shared" si="27"/>
        <v>21.09</v>
      </c>
      <c r="H212">
        <f t="shared" si="33"/>
        <v>0.72115999999999925</v>
      </c>
      <c r="I212" s="13">
        <f t="shared" si="28"/>
        <v>0.29039999999999999</v>
      </c>
      <c r="J212">
        <f t="shared" si="31"/>
        <v>4.3559999999999932E-2</v>
      </c>
      <c r="K212" s="13">
        <f t="shared" si="32"/>
        <v>4.3559999999999932E-2</v>
      </c>
      <c r="N212">
        <f t="shared" si="29"/>
        <v>0</v>
      </c>
      <c r="O212">
        <f t="shared" si="30"/>
        <v>0</v>
      </c>
    </row>
    <row r="213" spans="5:15">
      <c r="E213" s="14">
        <v>21.0999999999996</v>
      </c>
      <c r="F213" s="14">
        <f>E213/20*Protokoll!$AC$5</f>
        <v>21.0999999999996</v>
      </c>
      <c r="G213" s="14">
        <f t="shared" si="27"/>
        <v>21.1</v>
      </c>
      <c r="H213">
        <f t="shared" si="33"/>
        <v>0.72599999999999998</v>
      </c>
      <c r="I213" s="13">
        <f t="shared" si="28"/>
        <v>0.29039999999999999</v>
      </c>
      <c r="J213">
        <f t="shared" si="31"/>
        <v>4.8400000000000692E-2</v>
      </c>
      <c r="K213" s="13">
        <f t="shared" si="32"/>
        <v>4.8400000000000692E-2</v>
      </c>
      <c r="N213">
        <f t="shared" si="29"/>
        <v>0</v>
      </c>
      <c r="O213">
        <f t="shared" si="30"/>
        <v>0</v>
      </c>
    </row>
    <row r="214" spans="5:15">
      <c r="E214" s="14">
        <v>21.109999999999602</v>
      </c>
      <c r="F214" s="14">
        <f>E214/20*Protokoll!$AC$5</f>
        <v>21.109999999999602</v>
      </c>
      <c r="G214" s="14">
        <f t="shared" si="27"/>
        <v>21.11</v>
      </c>
      <c r="H214">
        <f t="shared" si="33"/>
        <v>0.73083999999999905</v>
      </c>
      <c r="I214" s="13">
        <f t="shared" si="28"/>
        <v>0.29039999999999999</v>
      </c>
      <c r="J214">
        <f t="shared" si="31"/>
        <v>5.3239999999999732E-2</v>
      </c>
      <c r="K214" s="13">
        <f t="shared" si="32"/>
        <v>5.3239999999999732E-2</v>
      </c>
      <c r="N214">
        <f t="shared" si="29"/>
        <v>0</v>
      </c>
      <c r="O214">
        <f t="shared" si="30"/>
        <v>0</v>
      </c>
    </row>
    <row r="215" spans="5:15">
      <c r="E215" s="14">
        <v>21.1199999999996</v>
      </c>
      <c r="F215" s="14">
        <f>E215/20*Protokoll!$AC$5</f>
        <v>21.1199999999996</v>
      </c>
      <c r="G215" s="14">
        <f t="shared" si="27"/>
        <v>21.12</v>
      </c>
      <c r="H215">
        <f t="shared" si="33"/>
        <v>0.73567999999999978</v>
      </c>
      <c r="I215" s="13">
        <f t="shared" si="28"/>
        <v>0.29039999999999999</v>
      </c>
      <c r="J215">
        <f t="shared" si="31"/>
        <v>5.8080000000000485E-2</v>
      </c>
      <c r="K215" s="13">
        <f t="shared" si="32"/>
        <v>5.8080000000000485E-2</v>
      </c>
      <c r="N215">
        <f t="shared" si="29"/>
        <v>0</v>
      </c>
      <c r="O215">
        <f t="shared" si="30"/>
        <v>0</v>
      </c>
    </row>
    <row r="216" spans="5:15">
      <c r="E216" s="14">
        <v>21.129999999999601</v>
      </c>
      <c r="F216" s="14">
        <f>E216/20*Protokoll!$AC$5</f>
        <v>21.129999999999601</v>
      </c>
      <c r="G216" s="14">
        <f t="shared" si="27"/>
        <v>21.13</v>
      </c>
      <c r="H216">
        <f t="shared" si="33"/>
        <v>0.74051999999999885</v>
      </c>
      <c r="I216" s="13">
        <f t="shared" si="28"/>
        <v>0.29039999999999999</v>
      </c>
      <c r="J216">
        <f t="shared" si="31"/>
        <v>6.2919999999999518E-2</v>
      </c>
      <c r="K216" s="13">
        <f t="shared" si="32"/>
        <v>6.2919999999999518E-2</v>
      </c>
      <c r="N216">
        <f t="shared" si="29"/>
        <v>0</v>
      </c>
      <c r="O216">
        <f t="shared" si="30"/>
        <v>0</v>
      </c>
    </row>
    <row r="217" spans="5:15">
      <c r="E217" s="14">
        <v>21.139999999999599</v>
      </c>
      <c r="F217" s="14">
        <f>E217/20*Protokoll!$AC$5</f>
        <v>21.139999999999599</v>
      </c>
      <c r="G217" s="14">
        <f t="shared" si="27"/>
        <v>21.14</v>
      </c>
      <c r="H217">
        <f t="shared" si="33"/>
        <v>0.74535999999999969</v>
      </c>
      <c r="I217" s="13">
        <f t="shared" si="28"/>
        <v>0.29039999999999999</v>
      </c>
      <c r="J217">
        <f t="shared" si="31"/>
        <v>6.7760000000000278E-2</v>
      </c>
      <c r="K217" s="13">
        <f t="shared" si="32"/>
        <v>6.7760000000000278E-2</v>
      </c>
      <c r="N217">
        <f t="shared" si="29"/>
        <v>0</v>
      </c>
      <c r="O217">
        <f t="shared" si="30"/>
        <v>0</v>
      </c>
    </row>
    <row r="218" spans="5:15">
      <c r="E218" s="14">
        <v>21.149999999999601</v>
      </c>
      <c r="F218" s="14">
        <f>E218/20*Protokoll!$AC$5</f>
        <v>21.149999999999601</v>
      </c>
      <c r="G218" s="14">
        <f t="shared" si="27"/>
        <v>21.15</v>
      </c>
      <c r="H218">
        <f t="shared" si="33"/>
        <v>0.75019999999999865</v>
      </c>
      <c r="I218" s="13">
        <f t="shared" si="28"/>
        <v>0.29039999999999999</v>
      </c>
      <c r="J218">
        <f t="shared" si="31"/>
        <v>7.2599999999999318E-2</v>
      </c>
      <c r="K218" s="13">
        <f t="shared" si="32"/>
        <v>7.2599999999999318E-2</v>
      </c>
      <c r="N218">
        <f t="shared" si="29"/>
        <v>0</v>
      </c>
      <c r="O218">
        <f t="shared" si="30"/>
        <v>0</v>
      </c>
    </row>
    <row r="219" spans="5:15">
      <c r="E219" s="14">
        <v>21.159999999999599</v>
      </c>
      <c r="F219" s="14">
        <f>E219/20*Protokoll!$AC$5</f>
        <v>21.159999999999599</v>
      </c>
      <c r="G219" s="14">
        <f t="shared" si="27"/>
        <v>21.16</v>
      </c>
      <c r="H219">
        <f t="shared" si="33"/>
        <v>0.75503999999999938</v>
      </c>
      <c r="I219" s="13">
        <f t="shared" si="28"/>
        <v>0.29039999999999999</v>
      </c>
      <c r="J219">
        <f t="shared" si="31"/>
        <v>7.7440000000000078E-2</v>
      </c>
      <c r="K219" s="13">
        <f t="shared" si="32"/>
        <v>7.7440000000000078E-2</v>
      </c>
      <c r="N219">
        <f t="shared" si="29"/>
        <v>0</v>
      </c>
      <c r="O219">
        <f t="shared" si="30"/>
        <v>0</v>
      </c>
    </row>
    <row r="220" spans="5:15">
      <c r="E220" s="14">
        <v>21.1699999999996</v>
      </c>
      <c r="F220" s="14">
        <f>E220/20*Protokoll!$AC$5</f>
        <v>21.1699999999996</v>
      </c>
      <c r="G220" s="14">
        <f t="shared" si="27"/>
        <v>21.17</v>
      </c>
      <c r="H220">
        <f t="shared" si="33"/>
        <v>0.75988000000000011</v>
      </c>
      <c r="I220" s="13">
        <f t="shared" si="28"/>
        <v>0.29039999999999999</v>
      </c>
      <c r="J220">
        <f t="shared" si="31"/>
        <v>8.2280000000000839E-2</v>
      </c>
      <c r="K220" s="13">
        <f t="shared" si="32"/>
        <v>8.2280000000000839E-2</v>
      </c>
      <c r="N220">
        <f t="shared" si="29"/>
        <v>0</v>
      </c>
      <c r="O220">
        <f t="shared" si="30"/>
        <v>0</v>
      </c>
    </row>
    <row r="221" spans="5:15">
      <c r="E221" s="14">
        <v>21.179999999999598</v>
      </c>
      <c r="F221" s="14">
        <f>E221/20*Protokoll!$AC$5</f>
        <v>21.179999999999598</v>
      </c>
      <c r="G221" s="14">
        <f t="shared" si="27"/>
        <v>21.18</v>
      </c>
      <c r="H221">
        <f t="shared" si="33"/>
        <v>0.76471999999999918</v>
      </c>
      <c r="I221" s="13">
        <f t="shared" si="28"/>
        <v>0.29039999999999999</v>
      </c>
      <c r="J221">
        <f t="shared" si="31"/>
        <v>8.7119999999999864E-2</v>
      </c>
      <c r="K221" s="13">
        <f t="shared" si="32"/>
        <v>8.7119999999999864E-2</v>
      </c>
      <c r="N221">
        <f t="shared" si="29"/>
        <v>0</v>
      </c>
      <c r="O221">
        <f t="shared" si="30"/>
        <v>0</v>
      </c>
    </row>
    <row r="222" spans="5:15">
      <c r="E222" s="14">
        <v>21.1899999999996</v>
      </c>
      <c r="F222" s="14">
        <f>E222/20*Protokoll!$AC$5</f>
        <v>21.1899999999996</v>
      </c>
      <c r="G222" s="14">
        <f t="shared" si="27"/>
        <v>21.19</v>
      </c>
      <c r="H222">
        <f t="shared" si="33"/>
        <v>0.76955999999999991</v>
      </c>
      <c r="I222" s="13">
        <f t="shared" si="28"/>
        <v>0.29039999999999999</v>
      </c>
      <c r="J222">
        <f t="shared" si="31"/>
        <v>9.1960000000000625E-2</v>
      </c>
      <c r="K222" s="13">
        <f t="shared" si="32"/>
        <v>9.1960000000000625E-2</v>
      </c>
      <c r="N222">
        <f t="shared" si="29"/>
        <v>0</v>
      </c>
      <c r="O222">
        <f t="shared" si="30"/>
        <v>0</v>
      </c>
    </row>
    <row r="223" spans="5:15">
      <c r="E223" s="14">
        <v>21.199999999999601</v>
      </c>
      <c r="F223" s="14">
        <f>E223/20*Protokoll!$AC$5</f>
        <v>21.199999999999601</v>
      </c>
      <c r="G223" s="14">
        <f t="shared" si="27"/>
        <v>21.2</v>
      </c>
      <c r="H223">
        <f t="shared" si="33"/>
        <v>0.77439999999999898</v>
      </c>
      <c r="I223" s="13">
        <f t="shared" si="28"/>
        <v>0.29039999999999999</v>
      </c>
      <c r="J223">
        <f t="shared" si="31"/>
        <v>9.679999999999965E-2</v>
      </c>
      <c r="K223" s="13">
        <f t="shared" si="32"/>
        <v>9.679999999999965E-2</v>
      </c>
      <c r="N223">
        <f t="shared" si="29"/>
        <v>0</v>
      </c>
      <c r="O223">
        <f t="shared" si="30"/>
        <v>0</v>
      </c>
    </row>
    <row r="224" spans="5:15">
      <c r="E224" s="14">
        <v>21.209999999999599</v>
      </c>
      <c r="F224" s="14">
        <f>E224/20*Protokoll!$AC$5</f>
        <v>21.209999999999599</v>
      </c>
      <c r="G224" s="14">
        <f t="shared" si="27"/>
        <v>21.21</v>
      </c>
      <c r="H224">
        <f t="shared" si="33"/>
        <v>0.77923999999999982</v>
      </c>
      <c r="I224" s="13">
        <f t="shared" si="28"/>
        <v>0.29039999999999999</v>
      </c>
      <c r="J224">
        <f t="shared" si="31"/>
        <v>0.10164000000000041</v>
      </c>
      <c r="K224" s="13">
        <f t="shared" si="32"/>
        <v>0.10164000000000041</v>
      </c>
      <c r="N224">
        <f t="shared" si="29"/>
        <v>0</v>
      </c>
      <c r="O224">
        <f t="shared" si="30"/>
        <v>0</v>
      </c>
    </row>
    <row r="225" spans="5:15">
      <c r="E225" s="14">
        <v>21.219999999999601</v>
      </c>
      <c r="F225" s="14">
        <f>E225/20*Protokoll!$AC$5</f>
        <v>21.219999999999601</v>
      </c>
      <c r="G225" s="14">
        <f t="shared" si="27"/>
        <v>21.22</v>
      </c>
      <c r="H225">
        <f t="shared" si="33"/>
        <v>0.78407999999999878</v>
      </c>
      <c r="I225" s="13">
        <f t="shared" si="28"/>
        <v>0.29039999999999999</v>
      </c>
      <c r="J225">
        <f t="shared" si="31"/>
        <v>0.10647999999999946</v>
      </c>
      <c r="K225" s="13">
        <f t="shared" si="32"/>
        <v>0.10647999999999946</v>
      </c>
      <c r="N225">
        <f t="shared" si="29"/>
        <v>0</v>
      </c>
      <c r="O225">
        <f t="shared" si="30"/>
        <v>0</v>
      </c>
    </row>
    <row r="226" spans="5:15">
      <c r="E226" s="14">
        <v>21.229999999999599</v>
      </c>
      <c r="F226" s="14">
        <f>E226/20*Protokoll!$AC$5</f>
        <v>21.229999999999599</v>
      </c>
      <c r="G226" s="14">
        <f t="shared" si="27"/>
        <v>21.23</v>
      </c>
      <c r="H226">
        <f t="shared" si="33"/>
        <v>0.78891999999999951</v>
      </c>
      <c r="I226" s="13">
        <f t="shared" si="28"/>
        <v>0.29039999999999999</v>
      </c>
      <c r="J226">
        <f t="shared" si="31"/>
        <v>0.11132000000000021</v>
      </c>
      <c r="K226" s="13">
        <f t="shared" si="32"/>
        <v>0.11132000000000021</v>
      </c>
      <c r="N226">
        <f t="shared" si="29"/>
        <v>0</v>
      </c>
      <c r="O226">
        <f t="shared" si="30"/>
        <v>0</v>
      </c>
    </row>
    <row r="227" spans="5:15">
      <c r="E227" s="14">
        <v>21.239999999999601</v>
      </c>
      <c r="F227" s="14">
        <f>E227/20*Protokoll!$AC$5</f>
        <v>21.239999999999601</v>
      </c>
      <c r="G227" s="14">
        <f t="shared" si="27"/>
        <v>21.24</v>
      </c>
      <c r="H227">
        <f t="shared" si="33"/>
        <v>0.79375999999999858</v>
      </c>
      <c r="I227" s="13">
        <f t="shared" si="28"/>
        <v>0.29039999999999999</v>
      </c>
      <c r="J227">
        <f t="shared" si="31"/>
        <v>0.11615999999999925</v>
      </c>
      <c r="K227" s="13">
        <f t="shared" si="32"/>
        <v>0.11615999999999925</v>
      </c>
      <c r="N227">
        <f t="shared" si="29"/>
        <v>0</v>
      </c>
      <c r="O227">
        <f t="shared" si="30"/>
        <v>0</v>
      </c>
    </row>
    <row r="228" spans="5:15">
      <c r="E228" s="14">
        <v>21.249999999999599</v>
      </c>
      <c r="F228" s="14">
        <f>E228/20*Protokoll!$AC$5</f>
        <v>21.249999999999602</v>
      </c>
      <c r="G228" s="14">
        <f t="shared" si="27"/>
        <v>21.25</v>
      </c>
      <c r="H228">
        <f t="shared" si="33"/>
        <v>0.79859999999999931</v>
      </c>
      <c r="I228" s="13">
        <f t="shared" si="28"/>
        <v>0.29039999999999999</v>
      </c>
      <c r="J228">
        <f t="shared" si="31"/>
        <v>0.121</v>
      </c>
      <c r="K228" s="13">
        <f t="shared" si="32"/>
        <v>0.121</v>
      </c>
      <c r="N228">
        <f t="shared" si="29"/>
        <v>0</v>
      </c>
      <c r="O228">
        <f t="shared" si="30"/>
        <v>0</v>
      </c>
    </row>
    <row r="229" spans="5:15">
      <c r="E229" s="14">
        <v>21.2599999999996</v>
      </c>
      <c r="F229" s="14">
        <f>E229/20*Protokoll!$AC$5</f>
        <v>21.2599999999996</v>
      </c>
      <c r="G229" s="14">
        <f t="shared" si="27"/>
        <v>21.26</v>
      </c>
      <c r="H229">
        <f t="shared" si="33"/>
        <v>0.80344000000000004</v>
      </c>
      <c r="I229" s="13">
        <f t="shared" si="28"/>
        <v>0.29039999999999999</v>
      </c>
      <c r="J229">
        <f t="shared" si="31"/>
        <v>0.12584000000000076</v>
      </c>
      <c r="K229" s="13">
        <f t="shared" si="32"/>
        <v>0.12584000000000076</v>
      </c>
      <c r="N229">
        <f t="shared" si="29"/>
        <v>0</v>
      </c>
      <c r="O229">
        <f t="shared" si="30"/>
        <v>0</v>
      </c>
    </row>
    <row r="230" spans="5:15">
      <c r="E230" s="14">
        <v>21.269999999999602</v>
      </c>
      <c r="F230" s="14">
        <f>E230/20*Protokoll!$AC$5</f>
        <v>21.269999999999602</v>
      </c>
      <c r="G230" s="14">
        <f t="shared" si="27"/>
        <v>21.27</v>
      </c>
      <c r="H230">
        <f t="shared" si="33"/>
        <v>0.80827999999999922</v>
      </c>
      <c r="I230" s="13">
        <f t="shared" si="28"/>
        <v>0.29039999999999999</v>
      </c>
      <c r="J230">
        <f t="shared" si="31"/>
        <v>0.1306799999999998</v>
      </c>
      <c r="K230" s="13">
        <f t="shared" si="32"/>
        <v>0.1306799999999998</v>
      </c>
      <c r="N230">
        <f t="shared" si="29"/>
        <v>0</v>
      </c>
      <c r="O230">
        <f t="shared" si="30"/>
        <v>0</v>
      </c>
    </row>
    <row r="231" spans="5:15">
      <c r="E231" s="14">
        <v>21.2799999999996</v>
      </c>
      <c r="F231" s="14">
        <f>E231/20*Protokoll!$AC$5</f>
        <v>21.279999999999603</v>
      </c>
      <c r="G231" s="14">
        <f t="shared" si="27"/>
        <v>21.28</v>
      </c>
      <c r="H231">
        <f t="shared" si="33"/>
        <v>0.81311999999999995</v>
      </c>
      <c r="I231" s="13">
        <f t="shared" si="28"/>
        <v>0.29039999999999999</v>
      </c>
      <c r="J231">
        <f t="shared" si="31"/>
        <v>0.13552000000000056</v>
      </c>
      <c r="K231" s="13">
        <f t="shared" si="32"/>
        <v>0.13552000000000056</v>
      </c>
      <c r="N231">
        <f t="shared" si="29"/>
        <v>0</v>
      </c>
      <c r="O231">
        <f t="shared" si="30"/>
        <v>0</v>
      </c>
    </row>
    <row r="232" spans="5:15">
      <c r="E232" s="14">
        <v>21.289999999999601</v>
      </c>
      <c r="F232" s="14">
        <f>E232/20*Protokoll!$AC$5</f>
        <v>21.289999999999601</v>
      </c>
      <c r="G232" s="14">
        <f t="shared" si="27"/>
        <v>21.29</v>
      </c>
      <c r="H232">
        <f t="shared" si="33"/>
        <v>0.81795999999999891</v>
      </c>
      <c r="I232" s="13">
        <f t="shared" si="28"/>
        <v>0.29039999999999999</v>
      </c>
      <c r="J232">
        <f t="shared" si="31"/>
        <v>0.1403599999999996</v>
      </c>
      <c r="K232" s="13">
        <f t="shared" si="32"/>
        <v>0.1403599999999996</v>
      </c>
      <c r="N232">
        <f t="shared" si="29"/>
        <v>0</v>
      </c>
      <c r="O232">
        <f t="shared" si="30"/>
        <v>0</v>
      </c>
    </row>
    <row r="233" spans="5:15">
      <c r="E233" s="14">
        <v>21.2999999999995</v>
      </c>
      <c r="F233" s="14">
        <f>E233/20*Protokoll!$AC$5</f>
        <v>21.2999999999995</v>
      </c>
      <c r="G233" s="14">
        <f t="shared" si="27"/>
        <v>21.3</v>
      </c>
      <c r="H233">
        <f t="shared" si="33"/>
        <v>0.82279999999999964</v>
      </c>
      <c r="I233" s="13">
        <f t="shared" si="28"/>
        <v>0.29039999999999999</v>
      </c>
      <c r="J233">
        <f t="shared" si="31"/>
        <v>0.14520000000000036</v>
      </c>
      <c r="K233" s="13">
        <f t="shared" si="32"/>
        <v>0.14520000000000036</v>
      </c>
      <c r="N233">
        <f t="shared" si="29"/>
        <v>0</v>
      </c>
      <c r="O233">
        <f t="shared" si="30"/>
        <v>0</v>
      </c>
    </row>
    <row r="234" spans="5:15">
      <c r="E234" s="14">
        <v>21.309999999999501</v>
      </c>
      <c r="F234" s="14">
        <f>E234/20*Protokoll!$AC$5</f>
        <v>21.309999999999501</v>
      </c>
      <c r="G234" s="14">
        <f t="shared" si="27"/>
        <v>21.31</v>
      </c>
      <c r="H234">
        <f t="shared" si="33"/>
        <v>0.82763999999999871</v>
      </c>
      <c r="I234" s="13">
        <f t="shared" si="28"/>
        <v>0.29039999999999999</v>
      </c>
      <c r="J234">
        <f t="shared" si="31"/>
        <v>0.1500399999999994</v>
      </c>
      <c r="K234" s="13">
        <f t="shared" si="32"/>
        <v>0.1500399999999994</v>
      </c>
      <c r="N234">
        <f t="shared" si="29"/>
        <v>0</v>
      </c>
      <c r="O234">
        <f t="shared" si="30"/>
        <v>0</v>
      </c>
    </row>
    <row r="235" spans="5:15">
      <c r="E235" s="14">
        <v>21.319999999999499</v>
      </c>
      <c r="F235" s="14">
        <f>E235/20*Protokoll!$AC$5</f>
        <v>21.319999999999499</v>
      </c>
      <c r="G235" s="14">
        <f t="shared" si="27"/>
        <v>21.32</v>
      </c>
      <c r="H235">
        <f t="shared" si="33"/>
        <v>0.83247999999999944</v>
      </c>
      <c r="I235" s="13">
        <f t="shared" si="28"/>
        <v>0.29039999999999999</v>
      </c>
      <c r="J235">
        <f t="shared" si="31"/>
        <v>0.15488000000000016</v>
      </c>
      <c r="K235" s="13">
        <f t="shared" si="32"/>
        <v>0.15488000000000016</v>
      </c>
      <c r="N235">
        <f t="shared" si="29"/>
        <v>0</v>
      </c>
      <c r="O235">
        <f t="shared" si="30"/>
        <v>0</v>
      </c>
    </row>
    <row r="236" spans="5:15">
      <c r="E236" s="14">
        <v>21.329999999999501</v>
      </c>
      <c r="F236" s="14">
        <f>E236/20*Protokoll!$AC$5</f>
        <v>21.329999999999501</v>
      </c>
      <c r="G236" s="14">
        <f t="shared" si="27"/>
        <v>21.33</v>
      </c>
      <c r="H236">
        <f t="shared" si="33"/>
        <v>0.83731999999999851</v>
      </c>
      <c r="I236" s="13">
        <f t="shared" si="28"/>
        <v>0.29039999999999999</v>
      </c>
      <c r="J236">
        <f t="shared" si="31"/>
        <v>0.15971999999999917</v>
      </c>
      <c r="K236" s="13">
        <f t="shared" si="32"/>
        <v>0.15971999999999917</v>
      </c>
      <c r="N236">
        <f t="shared" si="29"/>
        <v>0</v>
      </c>
      <c r="O236">
        <f t="shared" si="30"/>
        <v>0</v>
      </c>
    </row>
    <row r="237" spans="5:15">
      <c r="E237" s="14">
        <v>21.339999999999499</v>
      </c>
      <c r="F237" s="14">
        <f>E237/20*Protokoll!$AC$5</f>
        <v>21.339999999999499</v>
      </c>
      <c r="G237" s="14">
        <f t="shared" si="27"/>
        <v>21.34</v>
      </c>
      <c r="H237">
        <f t="shared" si="33"/>
        <v>0.84215999999999935</v>
      </c>
      <c r="I237" s="13">
        <f t="shared" si="28"/>
        <v>0.29039999999999999</v>
      </c>
      <c r="J237">
        <f t="shared" si="31"/>
        <v>0.16455999999999993</v>
      </c>
      <c r="K237" s="13">
        <f t="shared" si="32"/>
        <v>0.16455999999999993</v>
      </c>
      <c r="N237">
        <f t="shared" si="29"/>
        <v>0</v>
      </c>
      <c r="O237">
        <f t="shared" si="30"/>
        <v>0</v>
      </c>
    </row>
    <row r="238" spans="5:15">
      <c r="E238" s="14">
        <v>21.3499999999995</v>
      </c>
      <c r="F238" s="14">
        <f>E238/20*Protokoll!$AC$5</f>
        <v>21.3499999999995</v>
      </c>
      <c r="G238" s="14">
        <f t="shared" si="27"/>
        <v>21.35</v>
      </c>
      <c r="H238">
        <f t="shared" si="33"/>
        <v>0.84700000000000009</v>
      </c>
      <c r="I238" s="13">
        <f t="shared" si="28"/>
        <v>0.29039999999999999</v>
      </c>
      <c r="J238">
        <f t="shared" si="31"/>
        <v>0.16940000000000069</v>
      </c>
      <c r="K238" s="13">
        <f t="shared" si="32"/>
        <v>0.16940000000000069</v>
      </c>
      <c r="N238">
        <f t="shared" si="29"/>
        <v>0</v>
      </c>
      <c r="O238">
        <f t="shared" si="30"/>
        <v>0</v>
      </c>
    </row>
    <row r="239" spans="5:15">
      <c r="E239" s="14">
        <v>21.359999999999498</v>
      </c>
      <c r="F239" s="14">
        <f>E239/20*Protokoll!$AC$5</f>
        <v>21.359999999999498</v>
      </c>
      <c r="G239" s="14">
        <f t="shared" si="27"/>
        <v>21.36</v>
      </c>
      <c r="H239">
        <f t="shared" si="33"/>
        <v>0.85183999999999904</v>
      </c>
      <c r="I239" s="13">
        <f t="shared" si="28"/>
        <v>0.29039999999999999</v>
      </c>
      <c r="J239">
        <f t="shared" si="31"/>
        <v>0.17423999999999973</v>
      </c>
      <c r="K239" s="13">
        <f t="shared" si="32"/>
        <v>0.17423999999999973</v>
      </c>
      <c r="N239">
        <f t="shared" si="29"/>
        <v>0</v>
      </c>
      <c r="O239">
        <f t="shared" si="30"/>
        <v>0</v>
      </c>
    </row>
    <row r="240" spans="5:15">
      <c r="E240" s="14">
        <v>21.3699999999995</v>
      </c>
      <c r="F240" s="14">
        <f>E240/20*Protokoll!$AC$5</f>
        <v>21.3699999999995</v>
      </c>
      <c r="G240" s="14">
        <f t="shared" si="27"/>
        <v>21.37</v>
      </c>
      <c r="H240">
        <f t="shared" si="33"/>
        <v>0.85667999999999978</v>
      </c>
      <c r="I240" s="13">
        <f t="shared" si="28"/>
        <v>0.29039999999999999</v>
      </c>
      <c r="J240">
        <f t="shared" si="31"/>
        <v>0.17908000000000049</v>
      </c>
      <c r="K240" s="13">
        <f t="shared" si="32"/>
        <v>0.17908000000000049</v>
      </c>
      <c r="N240">
        <f t="shared" si="29"/>
        <v>0</v>
      </c>
      <c r="O240">
        <f t="shared" si="30"/>
        <v>0</v>
      </c>
    </row>
    <row r="241" spans="5:15">
      <c r="E241" s="14">
        <v>21.379999999999502</v>
      </c>
      <c r="F241" s="14">
        <f>E241/20*Protokoll!$AC$5</f>
        <v>21.379999999999502</v>
      </c>
      <c r="G241" s="14">
        <f t="shared" si="27"/>
        <v>21.38</v>
      </c>
      <c r="H241">
        <f t="shared" si="33"/>
        <v>0.86151999999999884</v>
      </c>
      <c r="I241" s="13">
        <f t="shared" si="28"/>
        <v>0.29039999999999999</v>
      </c>
      <c r="J241">
        <f t="shared" si="31"/>
        <v>0.18391999999999953</v>
      </c>
      <c r="K241" s="13">
        <f t="shared" si="32"/>
        <v>0.18391999999999953</v>
      </c>
      <c r="N241">
        <f t="shared" si="29"/>
        <v>0</v>
      </c>
      <c r="O241">
        <f t="shared" si="30"/>
        <v>0</v>
      </c>
    </row>
    <row r="242" spans="5:15">
      <c r="E242" s="14">
        <v>21.3899999999995</v>
      </c>
      <c r="F242" s="14">
        <f>E242/20*Protokoll!$AC$5</f>
        <v>21.3899999999995</v>
      </c>
      <c r="G242" s="14">
        <f t="shared" si="27"/>
        <v>21.39</v>
      </c>
      <c r="H242">
        <f t="shared" si="33"/>
        <v>0.86635999999999957</v>
      </c>
      <c r="I242" s="13">
        <f t="shared" si="28"/>
        <v>0.29039999999999999</v>
      </c>
      <c r="J242">
        <f t="shared" si="31"/>
        <v>0.18876000000000029</v>
      </c>
      <c r="K242" s="13">
        <f t="shared" si="32"/>
        <v>0.18876000000000029</v>
      </c>
      <c r="N242">
        <f t="shared" si="29"/>
        <v>0</v>
      </c>
      <c r="O242">
        <f t="shared" si="30"/>
        <v>0</v>
      </c>
    </row>
    <row r="243" spans="5:15">
      <c r="E243" s="14">
        <v>21.399999999999501</v>
      </c>
      <c r="F243" s="14">
        <f>E243/20*Protokoll!$AC$5</f>
        <v>21.399999999999501</v>
      </c>
      <c r="G243" s="14">
        <f t="shared" si="27"/>
        <v>21.4</v>
      </c>
      <c r="H243">
        <f t="shared" si="33"/>
        <v>0.87119999999999864</v>
      </c>
      <c r="I243" s="13">
        <f t="shared" si="28"/>
        <v>0.29039999999999999</v>
      </c>
      <c r="J243">
        <f t="shared" si="31"/>
        <v>0.1935999999999993</v>
      </c>
      <c r="K243" s="13">
        <f t="shared" si="32"/>
        <v>0.1935999999999993</v>
      </c>
      <c r="N243">
        <f t="shared" si="29"/>
        <v>0</v>
      </c>
      <c r="O243">
        <f t="shared" si="30"/>
        <v>0</v>
      </c>
    </row>
    <row r="244" spans="5:15">
      <c r="E244" s="14">
        <v>21.409999999999499</v>
      </c>
      <c r="F244" s="14">
        <f>E244/20*Protokoll!$AC$5</f>
        <v>21.409999999999499</v>
      </c>
      <c r="G244" s="14">
        <f t="shared" si="27"/>
        <v>21.41</v>
      </c>
      <c r="H244">
        <f t="shared" si="33"/>
        <v>0.87603999999999949</v>
      </c>
      <c r="I244" s="13">
        <f t="shared" si="28"/>
        <v>0.29039999999999999</v>
      </c>
      <c r="J244">
        <f t="shared" si="31"/>
        <v>0.19844000000000006</v>
      </c>
      <c r="K244" s="13">
        <f t="shared" si="32"/>
        <v>0.19844000000000006</v>
      </c>
      <c r="N244">
        <f t="shared" si="29"/>
        <v>0</v>
      </c>
      <c r="O244">
        <f t="shared" si="30"/>
        <v>0</v>
      </c>
    </row>
    <row r="245" spans="5:15">
      <c r="E245" s="14">
        <v>21.419999999999501</v>
      </c>
      <c r="F245" s="14">
        <f>E245/20*Protokoll!$AC$5</f>
        <v>21.419999999999501</v>
      </c>
      <c r="G245" s="14">
        <f t="shared" si="27"/>
        <v>21.42</v>
      </c>
      <c r="H245">
        <f t="shared" si="33"/>
        <v>0.88088000000000022</v>
      </c>
      <c r="I245" s="13">
        <f t="shared" si="28"/>
        <v>0.29039999999999999</v>
      </c>
      <c r="J245">
        <f t="shared" si="31"/>
        <v>0.20328000000000082</v>
      </c>
      <c r="K245" s="13">
        <f t="shared" si="32"/>
        <v>0.20328000000000082</v>
      </c>
      <c r="N245">
        <f t="shared" si="29"/>
        <v>0</v>
      </c>
      <c r="O245">
        <f t="shared" si="30"/>
        <v>0</v>
      </c>
    </row>
    <row r="246" spans="5:15">
      <c r="E246" s="14">
        <v>21.429999999999499</v>
      </c>
      <c r="F246" s="14">
        <f>E246/20*Protokoll!$AC$5</f>
        <v>21.429999999999502</v>
      </c>
      <c r="G246" s="14">
        <f t="shared" si="27"/>
        <v>21.43</v>
      </c>
      <c r="H246">
        <f t="shared" si="33"/>
        <v>0.88571999999999917</v>
      </c>
      <c r="I246" s="13">
        <f t="shared" si="28"/>
        <v>0.29039999999999999</v>
      </c>
      <c r="J246">
        <f t="shared" si="31"/>
        <v>0.20811999999999986</v>
      </c>
      <c r="K246" s="13">
        <f t="shared" si="32"/>
        <v>0.20811999999999986</v>
      </c>
      <c r="N246">
        <f t="shared" si="29"/>
        <v>0</v>
      </c>
      <c r="O246">
        <f t="shared" si="30"/>
        <v>0</v>
      </c>
    </row>
    <row r="247" spans="5:15">
      <c r="E247" s="14">
        <v>21.4399999999995</v>
      </c>
      <c r="F247" s="14">
        <f>E247/20*Protokoll!$AC$5</f>
        <v>21.4399999999995</v>
      </c>
      <c r="G247" s="14">
        <f t="shared" si="27"/>
        <v>21.44</v>
      </c>
      <c r="H247">
        <f t="shared" si="33"/>
        <v>0.89055999999999991</v>
      </c>
      <c r="I247" s="13">
        <f t="shared" si="28"/>
        <v>0.29039999999999999</v>
      </c>
      <c r="J247">
        <f t="shared" si="31"/>
        <v>0.21296000000000062</v>
      </c>
      <c r="K247" s="13">
        <f t="shared" si="32"/>
        <v>0.21296000000000062</v>
      </c>
      <c r="N247">
        <f t="shared" si="29"/>
        <v>0</v>
      </c>
      <c r="O247">
        <f t="shared" si="30"/>
        <v>0</v>
      </c>
    </row>
    <row r="248" spans="5:15">
      <c r="E248" s="14">
        <v>21.449999999999498</v>
      </c>
      <c r="F248" s="14">
        <f>E248/20*Protokoll!$AC$5</f>
        <v>21.449999999999498</v>
      </c>
      <c r="G248" s="14">
        <f t="shared" si="27"/>
        <v>21.45</v>
      </c>
      <c r="H248">
        <f t="shared" si="33"/>
        <v>0.89539999999999897</v>
      </c>
      <c r="I248" s="13">
        <f t="shared" si="28"/>
        <v>0.29039999999999999</v>
      </c>
      <c r="J248">
        <f t="shared" si="31"/>
        <v>0.21779999999999966</v>
      </c>
      <c r="K248" s="13">
        <f t="shared" si="32"/>
        <v>0.21779999999999966</v>
      </c>
      <c r="N248">
        <f t="shared" si="29"/>
        <v>0</v>
      </c>
      <c r="O248">
        <f t="shared" si="30"/>
        <v>0</v>
      </c>
    </row>
    <row r="249" spans="5:15">
      <c r="E249" s="14">
        <v>21.4599999999995</v>
      </c>
      <c r="F249" s="14">
        <f>E249/20*Protokoll!$AC$5</f>
        <v>21.459999999999503</v>
      </c>
      <c r="G249" s="14">
        <f t="shared" si="27"/>
        <v>21.46</v>
      </c>
      <c r="H249">
        <f t="shared" si="33"/>
        <v>0.90023999999999971</v>
      </c>
      <c r="I249" s="13">
        <f t="shared" si="28"/>
        <v>0.29039999999999999</v>
      </c>
      <c r="J249">
        <f t="shared" si="31"/>
        <v>0.22264000000000042</v>
      </c>
      <c r="K249" s="13">
        <f t="shared" si="32"/>
        <v>0.22264000000000042</v>
      </c>
      <c r="N249">
        <f t="shared" si="29"/>
        <v>0</v>
      </c>
      <c r="O249">
        <f t="shared" si="30"/>
        <v>0</v>
      </c>
    </row>
    <row r="250" spans="5:15">
      <c r="E250" s="14">
        <v>21.469999999999501</v>
      </c>
      <c r="F250" s="14">
        <f>E250/20*Protokoll!$AC$5</f>
        <v>21.469999999999501</v>
      </c>
      <c r="G250" s="14">
        <f t="shared" si="27"/>
        <v>21.47</v>
      </c>
      <c r="H250">
        <f t="shared" si="33"/>
        <v>0.90507999999999877</v>
      </c>
      <c r="I250" s="13">
        <f t="shared" si="28"/>
        <v>0.29039999999999999</v>
      </c>
      <c r="J250">
        <f t="shared" si="31"/>
        <v>0.22747999999999943</v>
      </c>
      <c r="K250" s="13">
        <f t="shared" si="32"/>
        <v>0.22747999999999943</v>
      </c>
      <c r="N250">
        <f t="shared" si="29"/>
        <v>0</v>
      </c>
      <c r="O250">
        <f t="shared" si="30"/>
        <v>0</v>
      </c>
    </row>
    <row r="251" spans="5:15">
      <c r="E251" s="14">
        <v>21.479999999999499</v>
      </c>
      <c r="F251" s="14">
        <f>E251/20*Protokoll!$AC$5</f>
        <v>21.479999999999499</v>
      </c>
      <c r="G251" s="14">
        <f t="shared" si="27"/>
        <v>21.48</v>
      </c>
      <c r="H251">
        <f t="shared" si="33"/>
        <v>0.90991999999999962</v>
      </c>
      <c r="I251" s="13">
        <f t="shared" si="28"/>
        <v>0.29039999999999999</v>
      </c>
      <c r="J251">
        <f t="shared" si="31"/>
        <v>0.23232000000000019</v>
      </c>
      <c r="K251" s="13">
        <f t="shared" si="32"/>
        <v>0.23232000000000019</v>
      </c>
      <c r="N251">
        <f t="shared" si="29"/>
        <v>0</v>
      </c>
      <c r="O251">
        <f t="shared" si="30"/>
        <v>0</v>
      </c>
    </row>
    <row r="252" spans="5:15">
      <c r="E252" s="14">
        <v>21.489999999999501</v>
      </c>
      <c r="F252" s="14">
        <f>E252/20*Protokoll!$AC$5</f>
        <v>21.489999999999505</v>
      </c>
      <c r="G252" s="14">
        <f t="shared" si="27"/>
        <v>21.49</v>
      </c>
      <c r="H252">
        <f t="shared" si="33"/>
        <v>0.91475999999999857</v>
      </c>
      <c r="I252" s="13">
        <f t="shared" si="28"/>
        <v>0.29039999999999999</v>
      </c>
      <c r="J252">
        <f t="shared" si="31"/>
        <v>0.23715999999999926</v>
      </c>
      <c r="K252" s="13">
        <f t="shared" si="32"/>
        <v>0.23715999999999926</v>
      </c>
      <c r="N252">
        <f t="shared" si="29"/>
        <v>0</v>
      </c>
      <c r="O252">
        <f t="shared" si="30"/>
        <v>0</v>
      </c>
    </row>
    <row r="253" spans="5:15">
      <c r="E253" s="14">
        <v>21.499999999999499</v>
      </c>
      <c r="F253" s="14">
        <f>E253/20*Protokoll!$AC$5</f>
        <v>21.499999999999496</v>
      </c>
      <c r="G253" s="14">
        <f t="shared" si="27"/>
        <v>21.5</v>
      </c>
      <c r="H253">
        <f t="shared" si="33"/>
        <v>0.91959999999999931</v>
      </c>
      <c r="I253" s="13">
        <f t="shared" si="28"/>
        <v>0.29039999999999999</v>
      </c>
      <c r="J253">
        <f t="shared" si="31"/>
        <v>0.24199999999999999</v>
      </c>
      <c r="K253" s="13">
        <f t="shared" si="32"/>
        <v>0.24199999999999999</v>
      </c>
      <c r="N253">
        <f t="shared" si="29"/>
        <v>0</v>
      </c>
      <c r="O253">
        <f t="shared" si="30"/>
        <v>0</v>
      </c>
    </row>
    <row r="254" spans="5:15">
      <c r="E254" s="14">
        <v>21.509999999999501</v>
      </c>
      <c r="F254" s="14">
        <f>E254/20*Protokoll!$AC$5</f>
        <v>21.509999999999501</v>
      </c>
      <c r="G254" s="14">
        <f t="shared" si="27"/>
        <v>21.51</v>
      </c>
      <c r="H254">
        <f t="shared" si="33"/>
        <v>0.92444000000000004</v>
      </c>
      <c r="I254" s="13">
        <f t="shared" si="28"/>
        <v>0.29039999999999999</v>
      </c>
      <c r="J254">
        <f t="shared" si="31"/>
        <v>0.24684000000000075</v>
      </c>
      <c r="K254" s="13">
        <f t="shared" si="32"/>
        <v>0.24684000000000075</v>
      </c>
      <c r="N254">
        <f t="shared" si="29"/>
        <v>0</v>
      </c>
      <c r="O254">
        <f t="shared" si="30"/>
        <v>0</v>
      </c>
    </row>
    <row r="255" spans="5:15">
      <c r="E255" s="14">
        <v>21.519999999999499</v>
      </c>
      <c r="F255" s="14">
        <f>E255/20*Protokoll!$AC$5</f>
        <v>21.519999999999499</v>
      </c>
      <c r="G255" s="14">
        <f t="shared" si="27"/>
        <v>21.52</v>
      </c>
      <c r="H255">
        <f t="shared" si="33"/>
        <v>0.92927999999999911</v>
      </c>
      <c r="I255" s="13">
        <f t="shared" si="28"/>
        <v>0.29039999999999999</v>
      </c>
      <c r="J255">
        <f t="shared" si="31"/>
        <v>0.25167999999999979</v>
      </c>
      <c r="K255" s="13">
        <f t="shared" si="32"/>
        <v>0.25167999999999979</v>
      </c>
      <c r="N255">
        <f t="shared" si="29"/>
        <v>0</v>
      </c>
      <c r="O255">
        <f t="shared" si="30"/>
        <v>0</v>
      </c>
    </row>
    <row r="256" spans="5:15">
      <c r="E256" s="14">
        <v>21.5299999999995</v>
      </c>
      <c r="F256" s="14">
        <f>E256/20*Protokoll!$AC$5</f>
        <v>21.529999999999497</v>
      </c>
      <c r="G256" s="14">
        <f t="shared" si="27"/>
        <v>21.53</v>
      </c>
      <c r="H256">
        <f t="shared" si="33"/>
        <v>0.93411999999999984</v>
      </c>
      <c r="I256" s="13">
        <f t="shared" si="28"/>
        <v>0.29039999999999999</v>
      </c>
      <c r="J256">
        <f t="shared" si="31"/>
        <v>0.25652000000000058</v>
      </c>
      <c r="K256" s="13">
        <f t="shared" si="32"/>
        <v>0.25652000000000058</v>
      </c>
      <c r="N256">
        <f t="shared" si="29"/>
        <v>0</v>
      </c>
      <c r="O256">
        <f t="shared" si="30"/>
        <v>0</v>
      </c>
    </row>
    <row r="257" spans="5:15">
      <c r="E257" s="14">
        <v>21.539999999999502</v>
      </c>
      <c r="F257" s="14">
        <f>E257/20*Protokoll!$AC$5</f>
        <v>21.539999999999502</v>
      </c>
      <c r="G257" s="14">
        <f t="shared" si="27"/>
        <v>21.54</v>
      </c>
      <c r="H257">
        <f t="shared" si="33"/>
        <v>0.93895999999999891</v>
      </c>
      <c r="I257" s="13">
        <f t="shared" si="28"/>
        <v>0.29039999999999999</v>
      </c>
      <c r="J257">
        <f t="shared" si="31"/>
        <v>0.26135999999999959</v>
      </c>
      <c r="K257" s="13">
        <f t="shared" si="32"/>
        <v>0.26135999999999959</v>
      </c>
      <c r="N257">
        <f t="shared" si="29"/>
        <v>0</v>
      </c>
      <c r="O257">
        <f t="shared" si="30"/>
        <v>0</v>
      </c>
    </row>
    <row r="258" spans="5:15">
      <c r="E258" s="14">
        <v>21.5499999999995</v>
      </c>
      <c r="F258" s="14">
        <f>E258/20*Protokoll!$AC$5</f>
        <v>21.5499999999995</v>
      </c>
      <c r="G258" s="14">
        <f t="shared" si="27"/>
        <v>21.55</v>
      </c>
      <c r="H258">
        <f t="shared" si="33"/>
        <v>0.94379999999999975</v>
      </c>
      <c r="I258" s="13">
        <f t="shared" si="28"/>
        <v>0.29039999999999999</v>
      </c>
      <c r="J258">
        <f t="shared" si="31"/>
        <v>0.26620000000000033</v>
      </c>
      <c r="K258" s="13">
        <f t="shared" si="32"/>
        <v>0.26620000000000033</v>
      </c>
      <c r="N258">
        <f t="shared" si="29"/>
        <v>0</v>
      </c>
      <c r="O258">
        <f t="shared" si="30"/>
        <v>0</v>
      </c>
    </row>
    <row r="259" spans="5:15">
      <c r="E259" s="14">
        <v>21.559999999999501</v>
      </c>
      <c r="F259" s="14">
        <f>E259/20*Protokoll!$AC$5</f>
        <v>21.559999999999498</v>
      </c>
      <c r="G259" s="14">
        <f t="shared" ref="G259:G269" si="34">ROUND(F259,2)</f>
        <v>21.56</v>
      </c>
      <c r="H259">
        <f t="shared" si="33"/>
        <v>0.94863999999999871</v>
      </c>
      <c r="I259" s="13">
        <f t="shared" ref="I259:I269" si="35">IF(H259&gt;=$C$13,$C$13,H259)</f>
        <v>0.29039999999999999</v>
      </c>
      <c r="J259">
        <f t="shared" si="31"/>
        <v>0.27103999999999939</v>
      </c>
      <c r="K259" s="13">
        <f t="shared" si="32"/>
        <v>0.27103999999999939</v>
      </c>
      <c r="N259">
        <f t="shared" ref="N259:N269" si="36">$B$3/$B$2*I259</f>
        <v>0</v>
      </c>
      <c r="O259">
        <f t="shared" ref="O259:O269" si="37">$B$3/$B$2*K259</f>
        <v>0</v>
      </c>
    </row>
    <row r="260" spans="5:15">
      <c r="E260" s="14">
        <v>21.569999999999499</v>
      </c>
      <c r="F260" s="14">
        <f>E260/20*Protokoll!$AC$5</f>
        <v>21.569999999999499</v>
      </c>
      <c r="G260" s="14">
        <f t="shared" si="34"/>
        <v>21.57</v>
      </c>
      <c r="H260">
        <f t="shared" si="33"/>
        <v>0.95347999999999944</v>
      </c>
      <c r="I260" s="13">
        <f t="shared" si="35"/>
        <v>0.29039999999999999</v>
      </c>
      <c r="J260">
        <f t="shared" ref="J260:J268" si="38">0.33*$B$2*((G260-$B$9)/$B$15)</f>
        <v>0.27588000000000013</v>
      </c>
      <c r="K260" s="13">
        <f t="shared" ref="K260:K269" si="39">IF(G260&lt;=$B$10,
         IF(J260&lt;=$C$14,$C$14,J260),
                $C$10)</f>
        <v>0.27588000000000013</v>
      </c>
      <c r="N260">
        <f t="shared" si="36"/>
        <v>0</v>
      </c>
      <c r="O260">
        <f t="shared" si="37"/>
        <v>0</v>
      </c>
    </row>
    <row r="261" spans="5:15">
      <c r="E261" s="14">
        <v>21.579999999999501</v>
      </c>
      <c r="F261" s="14">
        <f>E261/20*Protokoll!$AC$5</f>
        <v>21.579999999999501</v>
      </c>
      <c r="G261" s="14">
        <f t="shared" si="34"/>
        <v>21.58</v>
      </c>
      <c r="H261">
        <f t="shared" ref="H261:H269" si="40">-0.33*$B$2*(($B$7-G261)/$B$15)</f>
        <v>0.95831999999999851</v>
      </c>
      <c r="I261" s="13">
        <f t="shared" si="35"/>
        <v>0.29039999999999999</v>
      </c>
      <c r="J261">
        <f t="shared" si="38"/>
        <v>0.28071999999999919</v>
      </c>
      <c r="K261" s="13">
        <f t="shared" si="39"/>
        <v>0.28071999999999919</v>
      </c>
      <c r="N261">
        <f t="shared" si="36"/>
        <v>0</v>
      </c>
      <c r="O261">
        <f t="shared" si="37"/>
        <v>0</v>
      </c>
    </row>
    <row r="262" spans="5:15">
      <c r="E262" s="14">
        <v>21.589999999999499</v>
      </c>
      <c r="F262" s="14">
        <f>E262/20*Protokoll!$AC$5</f>
        <v>21.589999999999499</v>
      </c>
      <c r="G262" s="14">
        <f t="shared" si="34"/>
        <v>21.59</v>
      </c>
      <c r="H262">
        <f t="shared" si="40"/>
        <v>0.96315999999999924</v>
      </c>
      <c r="I262" s="13">
        <f t="shared" si="35"/>
        <v>0.29039999999999999</v>
      </c>
      <c r="J262">
        <f t="shared" si="38"/>
        <v>0.28555999999999993</v>
      </c>
      <c r="K262" s="13">
        <f t="shared" si="39"/>
        <v>0.28555999999999993</v>
      </c>
      <c r="N262">
        <f t="shared" si="36"/>
        <v>0</v>
      </c>
      <c r="O262">
        <f t="shared" si="37"/>
        <v>0</v>
      </c>
    </row>
    <row r="263" spans="5:15">
      <c r="E263" s="14">
        <v>21.5999999999995</v>
      </c>
      <c r="F263" s="14">
        <f>E263/20*Protokoll!$AC$5</f>
        <v>21.5999999999995</v>
      </c>
      <c r="G263" s="14">
        <f t="shared" si="34"/>
        <v>21.6</v>
      </c>
      <c r="H263">
        <f t="shared" si="40"/>
        <v>0.96799999999999997</v>
      </c>
      <c r="I263" s="13">
        <f t="shared" si="35"/>
        <v>0.29039999999999999</v>
      </c>
      <c r="J263">
        <f t="shared" si="38"/>
        <v>0.29040000000000071</v>
      </c>
      <c r="K263" s="13">
        <f t="shared" si="39"/>
        <v>0.29040000000000071</v>
      </c>
      <c r="N263">
        <f t="shared" si="36"/>
        <v>0</v>
      </c>
      <c r="O263">
        <f t="shared" si="37"/>
        <v>0</v>
      </c>
    </row>
    <row r="264" spans="5:15">
      <c r="E264" s="14">
        <v>21.609999999999498</v>
      </c>
      <c r="F264" s="14">
        <f>E264/20*Protokoll!$AC$5</f>
        <v>21.609999999999498</v>
      </c>
      <c r="G264" s="14">
        <f t="shared" si="34"/>
        <v>21.61</v>
      </c>
      <c r="H264">
        <f t="shared" si="40"/>
        <v>0.97283999999999915</v>
      </c>
      <c r="I264" s="13">
        <f t="shared" si="35"/>
        <v>0.29039999999999999</v>
      </c>
      <c r="J264">
        <f t="shared" si="38"/>
        <v>0.29523999999999972</v>
      </c>
      <c r="K264" s="13">
        <f t="shared" si="39"/>
        <v>0.29040000000000071</v>
      </c>
      <c r="N264">
        <f t="shared" si="36"/>
        <v>0</v>
      </c>
      <c r="O264">
        <f t="shared" si="37"/>
        <v>0</v>
      </c>
    </row>
    <row r="265" spans="5:15">
      <c r="E265" s="14">
        <v>21.6199999999995</v>
      </c>
      <c r="F265" s="14">
        <f>E265/20*Protokoll!$AC$5</f>
        <v>21.6199999999995</v>
      </c>
      <c r="G265" s="14">
        <f t="shared" si="34"/>
        <v>21.62</v>
      </c>
      <c r="H265">
        <f t="shared" si="40"/>
        <v>0.97767999999999988</v>
      </c>
      <c r="I265" s="13">
        <f t="shared" si="35"/>
        <v>0.29039999999999999</v>
      </c>
      <c r="J265">
        <f t="shared" si="38"/>
        <v>0.30008000000000046</v>
      </c>
      <c r="K265" s="13">
        <f t="shared" si="39"/>
        <v>0.29040000000000071</v>
      </c>
      <c r="N265">
        <f t="shared" si="36"/>
        <v>0</v>
      </c>
      <c r="O265">
        <f t="shared" si="37"/>
        <v>0</v>
      </c>
    </row>
    <row r="266" spans="5:15">
      <c r="E266" s="14">
        <v>21.629999999999502</v>
      </c>
      <c r="F266" s="14">
        <f>E266/20*Protokoll!$AC$5</f>
        <v>21.629999999999502</v>
      </c>
      <c r="G266" s="14">
        <f t="shared" si="34"/>
        <v>21.63</v>
      </c>
      <c r="H266">
        <f t="shared" si="40"/>
        <v>0.98251999999999884</v>
      </c>
      <c r="I266" s="13">
        <f t="shared" si="35"/>
        <v>0.29039999999999999</v>
      </c>
      <c r="J266">
        <f t="shared" si="38"/>
        <v>0.30491999999999958</v>
      </c>
      <c r="K266" s="13">
        <f t="shared" si="39"/>
        <v>0.29040000000000071</v>
      </c>
      <c r="N266">
        <f t="shared" si="36"/>
        <v>0</v>
      </c>
      <c r="O266">
        <f t="shared" si="37"/>
        <v>0</v>
      </c>
    </row>
    <row r="267" spans="5:15">
      <c r="E267" s="14">
        <v>21.6399999999995</v>
      </c>
      <c r="F267" s="14">
        <f>E267/20*Protokoll!$AC$5</f>
        <v>21.6399999999995</v>
      </c>
      <c r="G267" s="14">
        <f t="shared" si="34"/>
        <v>21.64</v>
      </c>
      <c r="H267">
        <f t="shared" si="40"/>
        <v>0.98735999999999957</v>
      </c>
      <c r="I267" s="13">
        <f t="shared" si="35"/>
        <v>0.29039999999999999</v>
      </c>
      <c r="J267">
        <f t="shared" si="38"/>
        <v>0.30976000000000031</v>
      </c>
      <c r="K267" s="13">
        <f t="shared" si="39"/>
        <v>0.29040000000000071</v>
      </c>
      <c r="N267">
        <f t="shared" si="36"/>
        <v>0</v>
      </c>
      <c r="O267">
        <f t="shared" si="37"/>
        <v>0</v>
      </c>
    </row>
    <row r="268" spans="5:15">
      <c r="E268" s="14">
        <v>21.649999999999501</v>
      </c>
      <c r="F268" s="14">
        <f>E268/20*Protokoll!$AC$5</f>
        <v>21.649999999999501</v>
      </c>
      <c r="G268" s="14">
        <f t="shared" si="34"/>
        <v>21.65</v>
      </c>
      <c r="H268">
        <f t="shared" si="40"/>
        <v>0.99219999999999864</v>
      </c>
      <c r="I268" s="13">
        <f t="shared" si="35"/>
        <v>0.29039999999999999</v>
      </c>
      <c r="J268">
        <f t="shared" si="38"/>
        <v>0.31459999999999932</v>
      </c>
      <c r="K268" s="13">
        <f t="shared" si="39"/>
        <v>0.29040000000000071</v>
      </c>
      <c r="N268">
        <f t="shared" si="36"/>
        <v>0</v>
      </c>
      <c r="O268">
        <f t="shared" si="37"/>
        <v>0</v>
      </c>
    </row>
    <row r="269" spans="5:15">
      <c r="E269" s="14">
        <v>21.659999999999499</v>
      </c>
      <c r="F269" s="14">
        <f>E269/20*Protokoll!$AC$5</f>
        <v>21.659999999999499</v>
      </c>
      <c r="G269" s="14">
        <f t="shared" si="34"/>
        <v>21.66</v>
      </c>
      <c r="H269">
        <f t="shared" si="40"/>
        <v>0.99703999999999937</v>
      </c>
      <c r="I269" s="13">
        <f t="shared" si="35"/>
        <v>0.29039999999999999</v>
      </c>
      <c r="K269" s="13">
        <f t="shared" si="39"/>
        <v>0.29040000000000071</v>
      </c>
      <c r="N269">
        <f t="shared" si="36"/>
        <v>0</v>
      </c>
      <c r="O269">
        <f t="shared" si="37"/>
        <v>0</v>
      </c>
    </row>
  </sheetData>
  <sheetProtection algorithmName="SHA-512" hashValue="7ZMwT+/IBKWe5E0PpP5GaXI31m2tZw6g0ENEp+VhpZv8GEiBJJzdxmVjcw0s7My60YL+O4fTAUu90gL70bUkQA==" saltValue="uQbJpThY3JFRpW6C9meN2A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G7"/>
  <sheetViews>
    <sheetView workbookViewId="0">
      <selection activeCell="G3" sqref="G3"/>
    </sheetView>
  </sheetViews>
  <sheetFormatPr baseColWidth="10" defaultColWidth="11.44140625" defaultRowHeight="15.05"/>
  <cols>
    <col min="1" max="1" width="18.109375" bestFit="1" customWidth="1"/>
    <col min="2" max="2" width="30.77734375" bestFit="1" customWidth="1"/>
    <col min="3" max="3" width="22.44140625" bestFit="1" customWidth="1"/>
    <col min="4" max="4" width="19.44140625" bestFit="1" customWidth="1"/>
    <col min="5" max="5" width="17" bestFit="1" customWidth="1"/>
    <col min="6" max="6" width="14" bestFit="1" customWidth="1"/>
  </cols>
  <sheetData>
    <row r="1" spans="1:7">
      <c r="A1" s="7" t="s">
        <v>129</v>
      </c>
      <c r="B1" s="7" t="s">
        <v>8</v>
      </c>
      <c r="C1" s="7" t="s">
        <v>130</v>
      </c>
      <c r="D1" s="7" t="s">
        <v>131</v>
      </c>
      <c r="E1" s="7" t="s">
        <v>132</v>
      </c>
      <c r="F1" s="7" t="s">
        <v>133</v>
      </c>
      <c r="G1" s="7" t="s">
        <v>155</v>
      </c>
    </row>
    <row r="2" spans="1:7" ht="16.399999999999999">
      <c r="A2" t="s">
        <v>134</v>
      </c>
      <c r="B2" t="s">
        <v>135</v>
      </c>
      <c r="C2" t="s">
        <v>136</v>
      </c>
      <c r="D2" t="s">
        <v>137</v>
      </c>
      <c r="E2">
        <f>1.08*G2</f>
        <v>21.6</v>
      </c>
      <c r="F2" t="s">
        <v>138</v>
      </c>
      <c r="G2" s="71">
        <v>20</v>
      </c>
    </row>
    <row r="3" spans="1:7" ht="16.399999999999999">
      <c r="A3" t="s">
        <v>139</v>
      </c>
      <c r="B3" t="s">
        <v>140</v>
      </c>
      <c r="C3" t="s">
        <v>141</v>
      </c>
      <c r="D3" t="s">
        <v>142</v>
      </c>
      <c r="E3">
        <f>1.09*G2</f>
        <v>21.8</v>
      </c>
      <c r="F3" s="27" t="s">
        <v>143</v>
      </c>
    </row>
    <row r="4" spans="1:7">
      <c r="A4" t="s">
        <v>144</v>
      </c>
      <c r="B4" t="s">
        <v>9</v>
      </c>
      <c r="C4" t="s">
        <v>10</v>
      </c>
      <c r="D4" t="s">
        <v>38</v>
      </c>
    </row>
    <row r="5" spans="1:7">
      <c r="A5" t="s">
        <v>145</v>
      </c>
      <c r="B5" t="s">
        <v>146</v>
      </c>
    </row>
    <row r="6" spans="1:7">
      <c r="A6" t="s">
        <v>147</v>
      </c>
    </row>
    <row r="7" spans="1:7">
      <c r="A7" t="s">
        <v>148</v>
      </c>
    </row>
  </sheetData>
  <sheetProtection algorithmName="SHA-512" hashValue="dESOQ97BA5A0diFBIeySOsBAl/WiC141YTV9g0oiqTQu5ItMPc5f47n4u6/8A5Yhf6aiPiufQhJR6tLotEjXLA==" saltValue="h7cjbAWqSymywJlCElhV3A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a6fbd2-fdb2-4a38-9992-de0b8b359408" xsi:nil="true"/>
    <lcf76f155ced4ddcb4097134ff3c332f xmlns="c809cc23-566c-4251-95d6-1533bd9b5b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17BCAA7169DF4ABDAECE7B13B9F3FC" ma:contentTypeVersion="16" ma:contentTypeDescription="Create a new document." ma:contentTypeScope="" ma:versionID="b396ed572d61e9da682fb16632ce5bf2">
  <xsd:schema xmlns:xsd="http://www.w3.org/2001/XMLSchema" xmlns:xs="http://www.w3.org/2001/XMLSchema" xmlns:p="http://schemas.microsoft.com/office/2006/metadata/properties" xmlns:ns2="c809cc23-566c-4251-95d6-1533bd9b5bd8" xmlns:ns3="17a6fbd2-fdb2-4a38-9992-de0b8b359408" targetNamespace="http://schemas.microsoft.com/office/2006/metadata/properties" ma:root="true" ma:fieldsID="913b0c41658502169290babc5d1d0af5" ns2:_="" ns3:_="">
    <xsd:import namespace="c809cc23-566c-4251-95d6-1533bd9b5bd8"/>
    <xsd:import namespace="17a6fbd2-fdb2-4a38-9992-de0b8b3594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9cc23-566c-4251-95d6-1533bd9b5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6fbd2-fdb2-4a38-9992-de0b8b35940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da8863-7af3-4c8c-a65d-3f5f44ce1dc8}" ma:internalName="TaxCatchAll" ma:showField="CatchAllData" ma:web="17a6fbd2-fdb2-4a38-9992-de0b8b3594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4BE284-B00B-4909-BD0F-A1861BB17A32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2f2b74ff-7a6c-451b-a3d4-8b43d7c73b37"/>
    <ds:schemaRef ds:uri="http://schemas.openxmlformats.org/package/2006/metadata/core-properties"/>
    <ds:schemaRef ds:uri="cfcd77c0-a467-45d7-bcb4-7e085050873c"/>
    <ds:schemaRef ds:uri="http://schemas.microsoft.com/office/2006/metadata/properties"/>
    <ds:schemaRef ds:uri="c809cc23-566c-4251-95d6-1533bd9b5bd8"/>
    <ds:schemaRef ds:uri="17a6fbd2-fdb2-4a38-9992-de0b8b359408"/>
    <ds:schemaRef ds:uri="18578010-715b-4c68-a7ab-96bfc66daed7"/>
    <ds:schemaRef ds:uri="5aa90397-e847-4fba-8b3a-e259bf76b36a"/>
    <ds:schemaRef ds:uri="4d240218-847d-404d-ad3d-9705bdd3034f"/>
    <ds:schemaRef ds:uri="96f41b09-830c-4fad-b04d-20a991e9a051"/>
    <ds:schemaRef ds:uri="81c37c89-1de4-41d6-8a92-02cd75a6ba48"/>
    <ds:schemaRef ds:uri="7e7abe0f-9364-4df4-a686-353e412bbf08"/>
  </ds:schemaRefs>
</ds:datastoreItem>
</file>

<file path=customXml/itemProps2.xml><?xml version="1.0" encoding="utf-8"?>
<ds:datastoreItem xmlns:ds="http://schemas.openxmlformats.org/officeDocument/2006/customXml" ds:itemID="{24FF8A1D-46E6-42DF-883D-FF37DBD5EC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FFA2D9-5C8A-4951-97B0-F9AAC60191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9cc23-566c-4251-95d6-1533bd9b5bd8"/>
    <ds:schemaRef ds:uri="17a6fbd2-fdb2-4a38-9992-de0b8b3594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Protokoll</vt:lpstr>
      <vt:lpstr>Diagram</vt:lpstr>
      <vt:lpstr>Wertetabelle</vt:lpstr>
      <vt:lpstr>DropDown</vt:lpstr>
      <vt:lpstr>Protokoll!Druckbereich</vt:lpstr>
    </vt:vector>
  </TitlesOfParts>
  <Manager/>
  <Company>E.ON IS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J29669</dc:creator>
  <cp:keywords/>
  <dc:description/>
  <cp:lastModifiedBy>Bock, Carsten</cp:lastModifiedBy>
  <cp:revision/>
  <cp:lastPrinted>2026-05-06T09:49:35Z</cp:lastPrinted>
  <dcterms:created xsi:type="dcterms:W3CDTF">2013-04-12T10:17:18Z</dcterms:created>
  <dcterms:modified xsi:type="dcterms:W3CDTF">2026-05-06T09:50:18Z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0x0101008817BCAA7169DF4ABDAECE7B13B9F3FC</vt:lpwstr>
  </property>
  <property fmtid="{D5CDD505-2E9C-101B-9397-08002B2CF9AE}" pid="3" name="MediaServiceImageTags">
    <vt:lpwstr/>
  </property>
  <property fmtid="{D5CDD505-2E9C-101B-9397-08002B2CF9AE}" pid="4" name="MSIP_Label_42f063bf-ce3a-473c-8609-3866002c85b0_Enabled">
    <vt:lpwstr>true</vt:lpwstr>
  </property>
  <property fmtid="{D5CDD505-2E9C-101B-9397-08002B2CF9AE}" pid="5" name="MSIP_Label_42f063bf-ce3a-473c-8609-3866002c85b0_SetDate">
    <vt:lpwstr>2023-04-21T14:08:18Z</vt:lpwstr>
  </property>
  <property fmtid="{D5CDD505-2E9C-101B-9397-08002B2CF9AE}" pid="6" name="MSIP_Label_42f063bf-ce3a-473c-8609-3866002c85b0_Method">
    <vt:lpwstr>Standard</vt:lpwstr>
  </property>
  <property fmtid="{D5CDD505-2E9C-101B-9397-08002B2CF9AE}" pid="7" name="MSIP_Label_42f063bf-ce3a-473c-8609-3866002c85b0_Name">
    <vt:lpwstr>Internal - Unencrypted</vt:lpwstr>
  </property>
  <property fmtid="{D5CDD505-2E9C-101B-9397-08002B2CF9AE}" pid="8" name="MSIP_Label_42f063bf-ce3a-473c-8609-3866002c85b0_SiteId">
    <vt:lpwstr>b914a242-e718-443b-a47c-6b4c649d8c0a</vt:lpwstr>
  </property>
  <property fmtid="{D5CDD505-2E9C-101B-9397-08002B2CF9AE}" pid="9" name="MSIP_Label_42f063bf-ce3a-473c-8609-3866002c85b0_ActionId">
    <vt:lpwstr>8401e7ae-a260-49b7-b974-ca6de8e97d2a</vt:lpwstr>
  </property>
  <property fmtid="{D5CDD505-2E9C-101B-9397-08002B2CF9AE}" pid="10" name="MSIP_Label_42f063bf-ce3a-473c-8609-3866002c85b0_ContentBits">
    <vt:lpwstr>0</vt:lpwstr>
  </property>
</Properties>
</file>